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B:\ASB - DOE\DOE Road Safety\RSS 2030\2024 Report\Final Documents\"/>
    </mc:Choice>
  </mc:AlternateContent>
  <xr:revisionPtr revIDLastSave="0" documentId="13_ncr:1_{95D1A428-F911-4C2B-99DB-C290C21D9E9E}" xr6:coauthVersionLast="47" xr6:coauthVersionMax="47" xr10:uidLastSave="{00000000-0000-0000-0000-000000000000}"/>
  <bookViews>
    <workbookView xWindow="28680" yWindow="-120" windowWidth="29040" windowHeight="15720" firstSheet="7" activeTab="7" xr2:uid="{00000000-000D-0000-FFFF-FFFF00000000}"/>
  </bookViews>
  <sheets>
    <sheet name="Cover" sheetId="1" r:id="rId1"/>
    <sheet name="Contents" sheetId="2" r:id="rId2"/>
    <sheet name="Table A" sheetId="3" r:id="rId3"/>
    <sheet name="Table 1" sheetId="4" r:id="rId4"/>
    <sheet name="Table 2" sheetId="5" r:id="rId5"/>
    <sheet name="Table 3" sheetId="6" r:id="rId6"/>
    <sheet name="Table 4" sheetId="7" r:id="rId7"/>
    <sheet name="Table B"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 name="Table 12" sheetId="16" r:id="rId16"/>
    <sheet name="Table 13" sheetId="17" r:id="rId17"/>
    <sheet name="Table 14" sheetId="18" r:id="rId18"/>
    <sheet name="Table 15" sheetId="19" r:id="rId19"/>
    <sheet name="Table 16" sheetId="20" r:id="rId20"/>
    <sheet name="Table 17" sheetId="21" r:id="rId21"/>
    <sheet name="Table 18" sheetId="22" r:id="rId22"/>
    <sheet name="Table 19" sheetId="23" r:id="rId23"/>
    <sheet name="Table 20" sheetId="24" r:id="rId24"/>
    <sheet name="Table 21" sheetId="25" r:id="rId25"/>
    <sheet name="Table 22" sheetId="26" r:id="rId26"/>
    <sheet name="Table 23" sheetId="27" r:id="rId27"/>
    <sheet name="Table 24" sheetId="28" r:id="rId28"/>
    <sheet name="Table 25" sheetId="29" r:id="rId29"/>
    <sheet name="Table 26" sheetId="30" r:id="rId30"/>
    <sheet name="Table 27" sheetId="31" r:id="rId31"/>
    <sheet name="Table 28" sheetId="32" r:id="rId32"/>
    <sheet name="Table 29" sheetId="33" r:id="rId33"/>
    <sheet name="Table 30" sheetId="34" r:id="rId34"/>
    <sheet name="Table 31" sheetId="35" r:id="rId35"/>
    <sheet name="Table 32" sheetId="36" r:id="rId36"/>
    <sheet name="Table 33" sheetId="37" r:id="rId37"/>
    <sheet name="Table 34" sheetId="38" r:id="rId38"/>
    <sheet name="Table 35" sheetId="39" r:id="rId39"/>
    <sheet name="Table 36" sheetId="40" r:id="rId40"/>
    <sheet name="Table 37" sheetId="41" r:id="rId41"/>
    <sheet name="Table 38" sheetId="42" r:id="rId42"/>
    <sheet name="User Guidance" sheetId="43" r:id="rId43"/>
    <sheet name="Glossary" sheetId="44"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8" l="1"/>
  <c r="K95" i="8"/>
  <c r="K94" i="8"/>
  <c r="H96" i="8"/>
  <c r="H95" i="8"/>
  <c r="H94" i="8"/>
  <c r="K89" i="8"/>
  <c r="H89" i="8"/>
  <c r="K84" i="8"/>
  <c r="K83" i="8"/>
  <c r="K82" i="8"/>
  <c r="K81" i="8"/>
  <c r="K80" i="8"/>
  <c r="K79" i="8"/>
  <c r="K78" i="8"/>
  <c r="H84" i="8"/>
  <c r="H83" i="8"/>
  <c r="H82" i="8"/>
  <c r="H81" i="8"/>
  <c r="H80" i="8"/>
  <c r="H79" i="8"/>
  <c r="H78" i="8"/>
  <c r="K73" i="8"/>
  <c r="K72" i="8"/>
  <c r="K71" i="8"/>
  <c r="K70" i="8"/>
  <c r="H73" i="8"/>
  <c r="H72" i="8"/>
  <c r="H71" i="8"/>
  <c r="H70" i="8"/>
  <c r="K65" i="8"/>
  <c r="K64" i="8"/>
  <c r="K63" i="8"/>
  <c r="K62" i="8"/>
  <c r="H65" i="8"/>
  <c r="H64" i="8"/>
  <c r="H63" i="8"/>
  <c r="H62" i="8"/>
  <c r="J65" i="8"/>
  <c r="J64" i="8"/>
  <c r="J63" i="8"/>
  <c r="J62" i="8"/>
  <c r="G65" i="8"/>
  <c r="G64" i="8"/>
  <c r="G63" i="8"/>
  <c r="G62" i="8"/>
  <c r="K55" i="8"/>
  <c r="K56" i="8"/>
  <c r="K57" i="8"/>
  <c r="K54" i="8"/>
  <c r="K53" i="8"/>
  <c r="H53" i="8"/>
  <c r="J55" i="8"/>
  <c r="J56" i="8"/>
  <c r="J57" i="8"/>
  <c r="J54" i="8"/>
  <c r="J53" i="8"/>
  <c r="H55" i="8"/>
  <c r="H56" i="8"/>
  <c r="H57" i="8"/>
  <c r="H54" i="8"/>
  <c r="G55" i="8"/>
  <c r="G56" i="8"/>
  <c r="G57" i="8"/>
  <c r="G54" i="8"/>
  <c r="G53" i="8"/>
  <c r="D230" i="27"/>
  <c r="E230" i="27"/>
  <c r="F230" i="27"/>
  <c r="D218" i="27"/>
  <c r="E218" i="27" s="1"/>
  <c r="F218" i="27"/>
  <c r="D206" i="27"/>
  <c r="F206" i="27" s="1"/>
  <c r="E206" i="27"/>
  <c r="D183" i="27"/>
  <c r="E183" i="27" s="1"/>
  <c r="D171" i="27"/>
  <c r="E171" i="27"/>
  <c r="F171" i="27"/>
  <c r="D159" i="27"/>
  <c r="E159" i="27" s="1"/>
  <c r="D136" i="27"/>
  <c r="F136" i="27" s="1"/>
  <c r="E136" i="27"/>
  <c r="D124" i="27"/>
  <c r="E124" i="27" s="1"/>
  <c r="D112" i="27"/>
  <c r="E112" i="27" s="1"/>
  <c r="D89" i="27"/>
  <c r="E89" i="27" s="1"/>
  <c r="F89" i="27"/>
  <c r="D77" i="27"/>
  <c r="F77" i="27" s="1"/>
  <c r="E77" i="27"/>
  <c r="D65" i="27"/>
  <c r="E65" i="27" s="1"/>
  <c r="D19" i="27"/>
  <c r="D229" i="27"/>
  <c r="D228" i="27"/>
  <c r="D227" i="27"/>
  <c r="D226" i="27"/>
  <c r="D225" i="27"/>
  <c r="D224" i="27"/>
  <c r="D223" i="27"/>
  <c r="F223" i="27" s="1"/>
  <c r="D222" i="27"/>
  <c r="F222" i="27" s="1"/>
  <c r="D221" i="27"/>
  <c r="D220" i="27"/>
  <c r="D217" i="27"/>
  <c r="D216" i="27"/>
  <c r="D215" i="27"/>
  <c r="D214" i="27"/>
  <c r="D213" i="27"/>
  <c r="D212" i="27"/>
  <c r="D211" i="27"/>
  <c r="D210" i="27"/>
  <c r="D209" i="27"/>
  <c r="D208" i="27"/>
  <c r="D205" i="27"/>
  <c r="D204" i="27"/>
  <c r="D203" i="27"/>
  <c r="F203" i="27" s="1"/>
  <c r="D202" i="27"/>
  <c r="D201" i="27"/>
  <c r="D200" i="27"/>
  <c r="D199" i="27"/>
  <c r="D198" i="27"/>
  <c r="D197" i="27"/>
  <c r="D196" i="27"/>
  <c r="D182" i="27"/>
  <c r="D181" i="27"/>
  <c r="D180" i="27"/>
  <c r="D179" i="27"/>
  <c r="D178" i="27"/>
  <c r="D177" i="27"/>
  <c r="D176" i="27"/>
  <c r="D175" i="27"/>
  <c r="D174" i="27"/>
  <c r="D173" i="27"/>
  <c r="D170" i="27"/>
  <c r="D169" i="27"/>
  <c r="D168" i="27"/>
  <c r="D167" i="27"/>
  <c r="D166" i="27"/>
  <c r="D165" i="27"/>
  <c r="D164" i="27"/>
  <c r="D163" i="27"/>
  <c r="D162" i="27"/>
  <c r="D161" i="27"/>
  <c r="D158" i="27"/>
  <c r="D157" i="27"/>
  <c r="D156" i="27"/>
  <c r="D155" i="27"/>
  <c r="D154" i="27"/>
  <c r="F154" i="27" s="1"/>
  <c r="D153" i="27"/>
  <c r="D152" i="27"/>
  <c r="D151" i="27"/>
  <c r="D150" i="27"/>
  <c r="D149" i="27"/>
  <c r="D135" i="27"/>
  <c r="D134" i="27"/>
  <c r="D133" i="27"/>
  <c r="D132" i="27"/>
  <c r="D131" i="27"/>
  <c r="D130" i="27"/>
  <c r="D129" i="27"/>
  <c r="D128" i="27"/>
  <c r="D127" i="27"/>
  <c r="D126" i="27"/>
  <c r="D123" i="27"/>
  <c r="D122" i="27"/>
  <c r="D121" i="27"/>
  <c r="D120" i="27"/>
  <c r="D119" i="27"/>
  <c r="D118" i="27"/>
  <c r="D117" i="27"/>
  <c r="D116" i="27"/>
  <c r="D115" i="27"/>
  <c r="D114" i="27"/>
  <c r="D111" i="27"/>
  <c r="D110" i="27"/>
  <c r="D109" i="27"/>
  <c r="D108" i="27"/>
  <c r="D107" i="27"/>
  <c r="D106" i="27"/>
  <c r="D105" i="27"/>
  <c r="D104" i="27"/>
  <c r="D103" i="27"/>
  <c r="D102" i="27"/>
  <c r="D88" i="27"/>
  <c r="D87" i="27"/>
  <c r="D86" i="27"/>
  <c r="D85" i="27"/>
  <c r="D84" i="27"/>
  <c r="D83" i="27"/>
  <c r="D82" i="27"/>
  <c r="D81" i="27"/>
  <c r="D80" i="27"/>
  <c r="D79" i="27"/>
  <c r="D76" i="27"/>
  <c r="D75" i="27"/>
  <c r="D74" i="27"/>
  <c r="D73" i="27"/>
  <c r="D72" i="27"/>
  <c r="D71" i="27"/>
  <c r="D70" i="27"/>
  <c r="D69" i="27"/>
  <c r="D68" i="27"/>
  <c r="D67" i="27"/>
  <c r="D64" i="27"/>
  <c r="D63" i="27"/>
  <c r="D62" i="27"/>
  <c r="D61" i="27"/>
  <c r="D60" i="27"/>
  <c r="D59" i="27"/>
  <c r="D58" i="27"/>
  <c r="D57" i="27"/>
  <c r="D56" i="27"/>
  <c r="D55" i="27"/>
  <c r="G43" i="27"/>
  <c r="D231" i="27" s="1"/>
  <c r="F43" i="27"/>
  <c r="D184" i="27" s="1"/>
  <c r="E43" i="27"/>
  <c r="D137" i="27" s="1"/>
  <c r="D43" i="27"/>
  <c r="D90" i="27" s="1"/>
  <c r="G31" i="27"/>
  <c r="D219" i="27" s="1"/>
  <c r="F31" i="27"/>
  <c r="D172" i="27" s="1"/>
  <c r="E31" i="27"/>
  <c r="D125" i="27" s="1"/>
  <c r="D31" i="27"/>
  <c r="D78" i="27" s="1"/>
  <c r="G19" i="27"/>
  <c r="D207" i="27" s="1"/>
  <c r="F19" i="27"/>
  <c r="D160" i="27" s="1"/>
  <c r="E19" i="27"/>
  <c r="D113" i="27" s="1"/>
  <c r="D66" i="27"/>
  <c r="I37" i="40"/>
  <c r="C31" i="42"/>
  <c r="F183" i="27" l="1"/>
  <c r="F159" i="27"/>
  <c r="F124" i="27"/>
  <c r="F112" i="27"/>
  <c r="F65" i="27"/>
  <c r="F229" i="27"/>
  <c r="F103" i="27"/>
  <c r="F132" i="27"/>
  <c r="F75" i="27"/>
  <c r="F204" i="27"/>
  <c r="F85" i="27"/>
  <c r="E174" i="27"/>
  <c r="F214" i="27"/>
  <c r="F56" i="27"/>
  <c r="F117" i="27"/>
  <c r="E215" i="27"/>
  <c r="F135" i="27"/>
  <c r="F88" i="27"/>
  <c r="F217" i="27"/>
  <c r="F58" i="27"/>
  <c r="F72" i="27"/>
  <c r="E204" i="27"/>
  <c r="F87" i="27"/>
  <c r="F127" i="27"/>
  <c r="E157" i="27"/>
  <c r="F109" i="27"/>
  <c r="F130" i="27"/>
  <c r="F80" i="27"/>
  <c r="F122" i="27"/>
  <c r="F221" i="27"/>
  <c r="F167" i="27"/>
  <c r="F69" i="27"/>
  <c r="F106" i="27"/>
  <c r="F213" i="27"/>
  <c r="F150" i="27"/>
  <c r="F129" i="27"/>
  <c r="E166" i="27"/>
  <c r="F177" i="27"/>
  <c r="F57" i="27"/>
  <c r="E74" i="27"/>
  <c r="F104" i="27"/>
  <c r="E151" i="27"/>
  <c r="F179" i="27"/>
  <c r="F199" i="27"/>
  <c r="F209" i="27"/>
  <c r="F162" i="27"/>
  <c r="F200" i="27"/>
  <c r="F198" i="27"/>
  <c r="F59" i="27"/>
  <c r="E116" i="27"/>
  <c r="E123" i="27"/>
  <c r="F180" i="27"/>
  <c r="E201" i="27"/>
  <c r="F211" i="27"/>
  <c r="F70" i="27"/>
  <c r="F174" i="27"/>
  <c r="F181" i="27"/>
  <c r="F62" i="27"/>
  <c r="F108" i="27"/>
  <c r="F134" i="27"/>
  <c r="F175" i="27"/>
  <c r="F74" i="27"/>
  <c r="F82" i="27"/>
  <c r="E107" i="27"/>
  <c r="F166" i="27"/>
  <c r="F158" i="27"/>
  <c r="F61" i="27"/>
  <c r="F84" i="27"/>
  <c r="F119" i="27"/>
  <c r="F153" i="27"/>
  <c r="E177" i="27"/>
  <c r="F210" i="27"/>
  <c r="F182" i="27"/>
  <c r="F76" i="27"/>
  <c r="F168" i="27"/>
  <c r="F226" i="27"/>
  <c r="F151" i="27"/>
  <c r="F201" i="27"/>
  <c r="F71" i="27"/>
  <c r="F163" i="27"/>
  <c r="F169" i="27"/>
  <c r="E178" i="27"/>
  <c r="F197" i="27"/>
  <c r="E212" i="27"/>
  <c r="F83" i="27"/>
  <c r="F176" i="27"/>
  <c r="F216" i="27"/>
  <c r="F121" i="27"/>
  <c r="F224" i="27"/>
  <c r="F64" i="27"/>
  <c r="F116" i="27"/>
  <c r="F156" i="27"/>
  <c r="F164" i="27"/>
  <c r="F205" i="27"/>
  <c r="E132" i="27"/>
  <c r="E130" i="27"/>
  <c r="E222" i="27"/>
  <c r="E226" i="27"/>
  <c r="E127" i="27"/>
  <c r="E133" i="27"/>
  <c r="E202" i="27"/>
  <c r="E225" i="27"/>
  <c r="E82" i="27"/>
  <c r="E80" i="27"/>
  <c r="E87" i="27"/>
  <c r="E88" i="27"/>
  <c r="E109" i="27"/>
  <c r="E69" i="27"/>
  <c r="E75" i="27"/>
  <c r="E61" i="27"/>
  <c r="E85" i="27"/>
  <c r="E153" i="27"/>
  <c r="E135" i="27"/>
  <c r="E227" i="27"/>
  <c r="E106" i="27"/>
  <c r="E104" i="27"/>
  <c r="E111" i="27"/>
  <c r="E122" i="27"/>
  <c r="E119" i="27"/>
  <c r="E117" i="27"/>
  <c r="E120" i="27"/>
  <c r="E72" i="27"/>
  <c r="E129" i="27"/>
  <c r="E170" i="27"/>
  <c r="E228" i="27"/>
  <c r="E62" i="27"/>
  <c r="E64" i="27"/>
  <c r="E56" i="27"/>
  <c r="E59" i="27"/>
  <c r="E154" i="27"/>
  <c r="E156" i="27"/>
  <c r="E103" i="27"/>
  <c r="E110" i="27"/>
  <c r="E169" i="27"/>
  <c r="E167" i="27"/>
  <c r="E164" i="27"/>
  <c r="E213" i="27"/>
  <c r="E209" i="27"/>
  <c r="E217" i="27"/>
  <c r="E214" i="27"/>
  <c r="F227" i="27"/>
  <c r="E73" i="27"/>
  <c r="E86" i="27"/>
  <c r="E115" i="27"/>
  <c r="F225" i="27"/>
  <c r="F60" i="27"/>
  <c r="E63" i="27"/>
  <c r="E68" i="27"/>
  <c r="F73" i="27"/>
  <c r="E76" i="27"/>
  <c r="E81" i="27"/>
  <c r="F86" i="27"/>
  <c r="E105" i="27"/>
  <c r="F110" i="27"/>
  <c r="F115" i="27"/>
  <c r="E118" i="27"/>
  <c r="F123" i="27"/>
  <c r="F128" i="27"/>
  <c r="E131" i="27"/>
  <c r="F152" i="27"/>
  <c r="E155" i="27"/>
  <c r="F165" i="27"/>
  <c r="E168" i="27"/>
  <c r="F178" i="27"/>
  <c r="E181" i="27"/>
  <c r="E197" i="27"/>
  <c r="F202" i="27"/>
  <c r="E205" i="27"/>
  <c r="E210" i="27"/>
  <c r="F215" i="27"/>
  <c r="E223" i="27"/>
  <c r="F228" i="27"/>
  <c r="E180" i="27"/>
  <c r="E70" i="27"/>
  <c r="E175" i="27"/>
  <c r="E199" i="27"/>
  <c r="F107" i="27"/>
  <c r="F133" i="27"/>
  <c r="F170" i="27"/>
  <c r="F212" i="27"/>
  <c r="E58" i="27"/>
  <c r="F63" i="27"/>
  <c r="F68" i="27"/>
  <c r="E71" i="27"/>
  <c r="F81" i="27"/>
  <c r="E84" i="27"/>
  <c r="F105" i="27"/>
  <c r="E108" i="27"/>
  <c r="F118" i="27"/>
  <c r="E121" i="27"/>
  <c r="F131" i="27"/>
  <c r="E134" i="27"/>
  <c r="E150" i="27"/>
  <c r="F155" i="27"/>
  <c r="E158" i="27"/>
  <c r="E163" i="27"/>
  <c r="E176" i="27"/>
  <c r="E200" i="27"/>
  <c r="E162" i="27"/>
  <c r="F120" i="27"/>
  <c r="F157" i="27"/>
  <c r="E179" i="27"/>
  <c r="E203" i="27"/>
  <c r="E216" i="27"/>
  <c r="E221" i="27"/>
  <c r="E229" i="27"/>
  <c r="E57" i="27"/>
  <c r="E83" i="27"/>
  <c r="E60" i="27"/>
  <c r="E128" i="27"/>
  <c r="E152" i="27"/>
  <c r="E165" i="27"/>
  <c r="F111" i="27"/>
  <c r="E182" i="27"/>
  <c r="E198" i="27"/>
  <c r="E211" i="27"/>
  <c r="E224" i="27"/>
  <c r="B24" i="41"/>
  <c r="G20" i="41"/>
  <c r="F20" i="41"/>
  <c r="E20" i="41"/>
  <c r="D20" i="41"/>
  <c r="C20" i="41"/>
  <c r="B24" i="42"/>
  <c r="I20" i="42"/>
  <c r="H20" i="42"/>
  <c r="G20" i="42"/>
  <c r="F20" i="42"/>
  <c r="E20" i="42"/>
  <c r="D20" i="42"/>
  <c r="C20" i="42"/>
  <c r="F241" i="26" l="1"/>
  <c r="F240" i="26"/>
  <c r="F239" i="26"/>
  <c r="F238" i="26"/>
  <c r="F237" i="26"/>
  <c r="F236" i="26"/>
  <c r="F235" i="26"/>
  <c r="F234" i="26"/>
  <c r="E241" i="26"/>
  <c r="E240" i="26"/>
  <c r="E239" i="26"/>
  <c r="E238" i="26"/>
  <c r="E237" i="26"/>
  <c r="E236" i="26"/>
  <c r="E235" i="26"/>
  <c r="E234" i="26"/>
  <c r="F231" i="26"/>
  <c r="F230" i="26"/>
  <c r="F229" i="26"/>
  <c r="F228" i="26"/>
  <c r="F227" i="26"/>
  <c r="F226" i="26"/>
  <c r="F225" i="26"/>
  <c r="F224" i="26"/>
  <c r="E231" i="26"/>
  <c r="E230" i="26"/>
  <c r="E229" i="26"/>
  <c r="E228" i="26"/>
  <c r="E227" i="26"/>
  <c r="E226" i="26"/>
  <c r="E225" i="26"/>
  <c r="E224" i="26"/>
  <c r="F221" i="26"/>
  <c r="F220" i="26"/>
  <c r="F219" i="26"/>
  <c r="F218" i="26"/>
  <c r="F217" i="26"/>
  <c r="F216" i="26"/>
  <c r="F215" i="26"/>
  <c r="F214" i="26"/>
  <c r="E221" i="26"/>
  <c r="E220" i="26"/>
  <c r="E219" i="26"/>
  <c r="E218" i="26"/>
  <c r="E217" i="26"/>
  <c r="E216" i="26"/>
  <c r="E215" i="26"/>
  <c r="E214" i="26"/>
  <c r="F200" i="26"/>
  <c r="F199" i="26"/>
  <c r="F198" i="26"/>
  <c r="F197" i="26"/>
  <c r="F196" i="26"/>
  <c r="F195" i="26"/>
  <c r="F194" i="26"/>
  <c r="F193" i="26"/>
  <c r="E200" i="26"/>
  <c r="E199" i="26"/>
  <c r="E197" i="26"/>
  <c r="E196" i="26"/>
  <c r="E195" i="26"/>
  <c r="E194" i="26"/>
  <c r="E193" i="26"/>
  <c r="E190" i="26"/>
  <c r="E189" i="26"/>
  <c r="E188" i="26"/>
  <c r="E187" i="26"/>
  <c r="E186" i="26"/>
  <c r="E185" i="26"/>
  <c r="E184" i="26"/>
  <c r="E183" i="26"/>
  <c r="F180" i="26"/>
  <c r="F179" i="26"/>
  <c r="F178" i="26"/>
  <c r="F177" i="26"/>
  <c r="F176" i="26"/>
  <c r="F175" i="26"/>
  <c r="F174" i="26"/>
  <c r="F173" i="26"/>
  <c r="E180" i="26"/>
  <c r="E179" i="26"/>
  <c r="E178" i="26"/>
  <c r="E177" i="26"/>
  <c r="E176" i="26"/>
  <c r="E175" i="26"/>
  <c r="E174" i="26"/>
  <c r="E173" i="26"/>
  <c r="F159" i="26"/>
  <c r="F158" i="26"/>
  <c r="F157" i="26"/>
  <c r="F156" i="26"/>
  <c r="F155" i="26"/>
  <c r="F154" i="26"/>
  <c r="F153" i="26"/>
  <c r="F152" i="26"/>
  <c r="E159" i="26"/>
  <c r="E158" i="26"/>
  <c r="E157" i="26"/>
  <c r="E156" i="26"/>
  <c r="E155" i="26"/>
  <c r="E154" i="26"/>
  <c r="E153" i="26"/>
  <c r="E152" i="26"/>
  <c r="F139" i="26"/>
  <c r="F138" i="26"/>
  <c r="F137" i="26"/>
  <c r="F136" i="26"/>
  <c r="F135" i="26"/>
  <c r="F134" i="26"/>
  <c r="F133" i="26"/>
  <c r="F132" i="26"/>
  <c r="E139" i="26"/>
  <c r="E138" i="26"/>
  <c r="E137" i="26"/>
  <c r="E136" i="26"/>
  <c r="E135" i="26"/>
  <c r="E134" i="26"/>
  <c r="E133" i="26"/>
  <c r="E132" i="26"/>
  <c r="F118" i="26"/>
  <c r="F117" i="26"/>
  <c r="F116" i="26"/>
  <c r="F115" i="26"/>
  <c r="F114" i="26"/>
  <c r="F113" i="26"/>
  <c r="F112" i="26"/>
  <c r="F111" i="26"/>
  <c r="E118" i="26"/>
  <c r="E117" i="26"/>
  <c r="E116" i="26"/>
  <c r="E115" i="26"/>
  <c r="E114" i="26"/>
  <c r="E113" i="26"/>
  <c r="E112" i="26"/>
  <c r="E111" i="26"/>
  <c r="F98" i="26"/>
  <c r="F97" i="26"/>
  <c r="F96" i="26"/>
  <c r="F95" i="26"/>
  <c r="F94" i="26"/>
  <c r="F93" i="26"/>
  <c r="F92" i="26"/>
  <c r="F91" i="26"/>
  <c r="E98" i="26"/>
  <c r="E97" i="26"/>
  <c r="E96" i="26"/>
  <c r="E95" i="26"/>
  <c r="E94" i="26"/>
  <c r="E93" i="26"/>
  <c r="E92" i="26"/>
  <c r="E91" i="26"/>
  <c r="F77" i="26"/>
  <c r="F76" i="26"/>
  <c r="F75" i="26"/>
  <c r="F74" i="26"/>
  <c r="F73" i="26"/>
  <c r="F72" i="26"/>
  <c r="F71" i="26"/>
  <c r="F70" i="26"/>
  <c r="E77" i="26"/>
  <c r="E76" i="26"/>
  <c r="E75" i="26"/>
  <c r="E74" i="26"/>
  <c r="E73" i="26"/>
  <c r="E72" i="26"/>
  <c r="E71" i="26"/>
  <c r="E70" i="26"/>
  <c r="F57" i="26"/>
  <c r="F56" i="26"/>
  <c r="F55" i="26"/>
  <c r="F54" i="26"/>
  <c r="F53" i="26"/>
  <c r="F52" i="26"/>
  <c r="F51" i="26"/>
  <c r="F50" i="26"/>
  <c r="E57" i="26"/>
  <c r="E56" i="26"/>
  <c r="E55" i="26"/>
  <c r="E54" i="26"/>
  <c r="E53" i="26"/>
  <c r="E52" i="26"/>
  <c r="E51" i="26"/>
  <c r="E50" i="26"/>
  <c r="D107" i="26"/>
  <c r="D117" i="26"/>
  <c r="D139" i="26"/>
  <c r="D138" i="26"/>
  <c r="D137" i="26"/>
  <c r="D159" i="26"/>
  <c r="D180" i="26"/>
  <c r="D190" i="26"/>
  <c r="D200" i="26"/>
  <c r="D221" i="26"/>
  <c r="D231" i="26"/>
  <c r="D241" i="26"/>
  <c r="D240" i="26"/>
  <c r="D239" i="26"/>
  <c r="D230" i="26"/>
  <c r="D229" i="26"/>
  <c r="D199" i="26"/>
  <c r="D198" i="26"/>
  <c r="D189" i="26"/>
  <c r="D188" i="26"/>
  <c r="D149" i="26"/>
  <c r="D118" i="26"/>
  <c r="D106" i="26"/>
  <c r="D108" i="26"/>
  <c r="D98" i="26"/>
  <c r="D97" i="26"/>
  <c r="D96" i="26"/>
  <c r="D77" i="26"/>
  <c r="D67" i="26"/>
  <c r="D57" i="26"/>
  <c r="D56" i="26"/>
  <c r="H286" i="26" l="1"/>
  <c r="G286" i="26"/>
  <c r="F286" i="26"/>
  <c r="E286" i="26"/>
  <c r="D286" i="26"/>
  <c r="H276" i="26"/>
  <c r="G276" i="26"/>
  <c r="F276" i="26"/>
  <c r="E276" i="26"/>
  <c r="D276" i="26"/>
  <c r="H266" i="26"/>
  <c r="G266" i="26"/>
  <c r="F266" i="26"/>
  <c r="E266" i="26"/>
  <c r="D266" i="26"/>
  <c r="D238" i="26"/>
  <c r="D237" i="26"/>
  <c r="D236" i="26"/>
  <c r="D235" i="26"/>
  <c r="D234" i="26"/>
  <c r="D233" i="26"/>
  <c r="D228" i="26"/>
  <c r="D227" i="26"/>
  <c r="D226" i="26"/>
  <c r="D225" i="26"/>
  <c r="D224" i="26"/>
  <c r="D223" i="26"/>
  <c r="D220" i="26"/>
  <c r="D219" i="26"/>
  <c r="D218" i="26"/>
  <c r="D217" i="26"/>
  <c r="D216" i="26"/>
  <c r="D215" i="26"/>
  <c r="D214" i="26"/>
  <c r="D213" i="26"/>
  <c r="D197" i="26"/>
  <c r="D196" i="26"/>
  <c r="D195" i="26"/>
  <c r="D194" i="26"/>
  <c r="D193" i="26"/>
  <c r="D192" i="26"/>
  <c r="D187" i="26"/>
  <c r="D186" i="26"/>
  <c r="D185" i="26"/>
  <c r="D184" i="26"/>
  <c r="D183" i="26"/>
  <c r="D182" i="26"/>
  <c r="D179" i="26"/>
  <c r="D178" i="26"/>
  <c r="D177" i="26"/>
  <c r="D176" i="26"/>
  <c r="D175" i="26"/>
  <c r="D174" i="26"/>
  <c r="D173" i="26"/>
  <c r="D172" i="26"/>
  <c r="D158" i="26"/>
  <c r="D157" i="26"/>
  <c r="D156" i="26"/>
  <c r="D155" i="26"/>
  <c r="D154" i="26"/>
  <c r="D153" i="26"/>
  <c r="D152" i="26"/>
  <c r="D151" i="26"/>
  <c r="D148" i="26"/>
  <c r="D147" i="26"/>
  <c r="D146" i="26"/>
  <c r="D145" i="26"/>
  <c r="D144" i="26"/>
  <c r="D143" i="26"/>
  <c r="D142" i="26"/>
  <c r="D141" i="26"/>
  <c r="D136" i="26"/>
  <c r="D135" i="26"/>
  <c r="D134" i="26"/>
  <c r="D133" i="26"/>
  <c r="D132" i="26"/>
  <c r="D131" i="26"/>
  <c r="D116" i="26"/>
  <c r="D115" i="26"/>
  <c r="D114" i="26"/>
  <c r="D113" i="26"/>
  <c r="D112" i="26"/>
  <c r="D111" i="26"/>
  <c r="D110" i="26"/>
  <c r="D105" i="26"/>
  <c r="D104" i="26"/>
  <c r="D103" i="26"/>
  <c r="D102" i="26"/>
  <c r="D101" i="26"/>
  <c r="D100" i="26"/>
  <c r="D95" i="26"/>
  <c r="D94" i="26"/>
  <c r="D93" i="26"/>
  <c r="D92" i="26"/>
  <c r="D91" i="26"/>
  <c r="D90" i="26"/>
  <c r="D76" i="26"/>
  <c r="D75" i="26"/>
  <c r="D74" i="26"/>
  <c r="D73" i="26"/>
  <c r="D72" i="26"/>
  <c r="D71" i="26"/>
  <c r="D70" i="26"/>
  <c r="D69" i="26"/>
  <c r="D66" i="26"/>
  <c r="D65" i="26"/>
  <c r="D64" i="26"/>
  <c r="D63" i="26"/>
  <c r="D62" i="26"/>
  <c r="D61" i="26"/>
  <c r="D60" i="26"/>
  <c r="D59" i="26"/>
  <c r="D55" i="26"/>
  <c r="D54" i="26"/>
  <c r="D53" i="26"/>
  <c r="D52" i="26"/>
  <c r="D51" i="26"/>
  <c r="D50" i="26"/>
  <c r="D49" i="26"/>
  <c r="H37" i="26"/>
  <c r="D242" i="26" s="1"/>
  <c r="G37" i="26"/>
  <c r="D201" i="26" s="1"/>
  <c r="F37" i="26"/>
  <c r="D160" i="26" s="1"/>
  <c r="E37" i="26"/>
  <c r="D119" i="26" s="1"/>
  <c r="D37" i="26"/>
  <c r="D78" i="26" s="1"/>
  <c r="H27" i="26"/>
  <c r="D232" i="26" s="1"/>
  <c r="G27" i="26"/>
  <c r="D191" i="26" s="1"/>
  <c r="F27" i="26"/>
  <c r="D150" i="26" s="1"/>
  <c r="E27" i="26"/>
  <c r="D109" i="26" s="1"/>
  <c r="D27" i="26"/>
  <c r="D68" i="26" s="1"/>
  <c r="H17" i="26"/>
  <c r="D222" i="26" s="1"/>
  <c r="G17" i="26"/>
  <c r="D181" i="26" s="1"/>
  <c r="F17" i="26"/>
  <c r="D140" i="26" s="1"/>
  <c r="E17" i="26"/>
  <c r="D99" i="26" s="1"/>
  <c r="D17" i="26"/>
  <c r="D58" i="26" s="1"/>
  <c r="K42" i="8"/>
  <c r="K40" i="8"/>
  <c r="H42" i="8"/>
  <c r="H40" i="8"/>
  <c r="K34" i="8"/>
  <c r="H34" i="8"/>
  <c r="J29" i="8"/>
  <c r="K29" i="8"/>
  <c r="K28" i="8"/>
  <c r="H29" i="8"/>
  <c r="H28" i="8"/>
  <c r="K23" i="8"/>
  <c r="K22" i="8"/>
  <c r="K16" i="8"/>
  <c r="H17" i="8"/>
  <c r="H16" i="8"/>
  <c r="H10" i="8"/>
  <c r="H9" i="8"/>
  <c r="K9" i="8"/>
  <c r="K10" i="8"/>
  <c r="K8" i="8"/>
  <c r="K7" i="8"/>
  <c r="H8" i="8"/>
  <c r="H7" i="8"/>
  <c r="L10" i="3"/>
  <c r="L9" i="3"/>
  <c r="L8" i="3"/>
  <c r="L7" i="3"/>
  <c r="I10" i="3"/>
  <c r="I9" i="3"/>
  <c r="I8" i="3"/>
  <c r="I7" i="3"/>
  <c r="E198" i="26" l="1"/>
  <c r="B22" i="44" l="1"/>
  <c r="B43" i="40"/>
  <c r="B23" i="40"/>
  <c r="B44" i="39"/>
  <c r="B23" i="39"/>
  <c r="B43" i="38"/>
  <c r="B22" i="38"/>
  <c r="B44" i="37"/>
  <c r="B23" i="37"/>
  <c r="B44" i="36"/>
  <c r="B23" i="36"/>
  <c r="B44" i="35"/>
  <c r="B23" i="35"/>
  <c r="B44" i="34"/>
  <c r="B23" i="34"/>
  <c r="B44" i="33"/>
  <c r="B23" i="33"/>
  <c r="B44" i="32"/>
  <c r="B23" i="32"/>
  <c r="B44" i="31"/>
  <c r="B23" i="31"/>
  <c r="B44" i="30"/>
  <c r="B23" i="30"/>
  <c r="B44" i="25"/>
  <c r="B23" i="25"/>
  <c r="B86" i="24"/>
  <c r="B47" i="24"/>
  <c r="B86" i="23"/>
  <c r="B47" i="23"/>
  <c r="B86" i="22"/>
  <c r="B47" i="22"/>
  <c r="B86" i="21"/>
  <c r="B47" i="21"/>
  <c r="B44" i="20"/>
  <c r="B23" i="20"/>
  <c r="B23" i="19"/>
  <c r="B44" i="18"/>
  <c r="B23" i="18"/>
  <c r="B44" i="17"/>
  <c r="B23" i="17"/>
  <c r="B46" i="16"/>
  <c r="B24" i="16"/>
  <c r="B71" i="15"/>
  <c r="B46" i="15"/>
  <c r="B24" i="15"/>
  <c r="B71" i="14"/>
  <c r="B46" i="14"/>
  <c r="B24" i="14"/>
  <c r="B91" i="13"/>
  <c r="B71" i="13"/>
  <c r="B46" i="13"/>
  <c r="B24" i="13"/>
  <c r="B91" i="12"/>
  <c r="B71" i="12"/>
  <c r="B46" i="12"/>
  <c r="B24" i="12"/>
  <c r="B71" i="11"/>
  <c r="B46" i="11"/>
  <c r="B24" i="11"/>
  <c r="B44" i="10"/>
  <c r="B23" i="10"/>
  <c r="B71" i="9"/>
  <c r="B46" i="9"/>
  <c r="B24" i="9"/>
  <c r="B108" i="8"/>
  <c r="J96" i="8"/>
  <c r="G96" i="8"/>
  <c r="J95" i="8"/>
  <c r="G95" i="8"/>
  <c r="J94" i="8"/>
  <c r="G94" i="8"/>
  <c r="J89" i="8"/>
  <c r="G89" i="8"/>
  <c r="J84" i="8"/>
  <c r="G84" i="8"/>
  <c r="J83" i="8"/>
  <c r="G83" i="8"/>
  <c r="J82" i="8"/>
  <c r="G82" i="8"/>
  <c r="J81" i="8"/>
  <c r="G81" i="8"/>
  <c r="J80" i="8"/>
  <c r="G80" i="8"/>
  <c r="J79" i="8"/>
  <c r="G79" i="8"/>
  <c r="J78" i="8"/>
  <c r="G78" i="8"/>
  <c r="J73" i="8"/>
  <c r="G73" i="8"/>
  <c r="J72" i="8"/>
  <c r="G72" i="8"/>
  <c r="J71" i="8"/>
  <c r="G71" i="8"/>
  <c r="J70" i="8"/>
  <c r="G70" i="8"/>
  <c r="J42" i="8"/>
  <c r="G42" i="8"/>
  <c r="J40" i="8"/>
  <c r="G40" i="8"/>
  <c r="J34" i="8"/>
  <c r="G34" i="8"/>
  <c r="G29" i="8"/>
  <c r="J28" i="8"/>
  <c r="G28" i="8"/>
  <c r="J23" i="8"/>
  <c r="G23" i="8"/>
  <c r="J22" i="8"/>
  <c r="G22" i="8"/>
  <c r="J17" i="8"/>
  <c r="G17" i="8"/>
  <c r="J16" i="8"/>
  <c r="G16" i="8"/>
  <c r="J11" i="8"/>
  <c r="J10" i="8"/>
  <c r="G10" i="8"/>
  <c r="J9" i="8"/>
  <c r="G9" i="8"/>
  <c r="J8" i="8"/>
  <c r="G8" i="8"/>
  <c r="J7" i="8"/>
  <c r="G7" i="8"/>
  <c r="B44" i="7"/>
  <c r="B23" i="7"/>
  <c r="B44" i="6"/>
  <c r="B23" i="6"/>
  <c r="B44" i="5"/>
  <c r="B23" i="5"/>
  <c r="B44" i="4"/>
  <c r="B23" i="4"/>
  <c r="B20" i="3"/>
  <c r="K10" i="3"/>
  <c r="H10" i="3"/>
  <c r="K9" i="3"/>
  <c r="H9" i="3"/>
  <c r="K8" i="3"/>
  <c r="H8" i="3"/>
  <c r="K7" i="3"/>
  <c r="H7" i="3"/>
  <c r="A96" i="2"/>
  <c r="A95"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8" i="2"/>
  <c r="A7" i="2"/>
  <c r="A6" i="2"/>
  <c r="A5" i="2"/>
  <c r="A4" i="2"/>
</calcChain>
</file>

<file path=xl/sharedStrings.xml><?xml version="1.0" encoding="utf-8"?>
<sst xmlns="http://schemas.openxmlformats.org/spreadsheetml/2006/main" count="2606" uniqueCount="717">
  <si>
    <t>Link</t>
  </si>
  <si>
    <t>Table</t>
  </si>
  <si>
    <t>Title</t>
  </si>
  <si>
    <t>TABLES REPORTING FOR STRATEGY TARGETS</t>
  </si>
  <si>
    <t>Table A</t>
  </si>
  <si>
    <t>Summary table of Strategy Targets</t>
  </si>
  <si>
    <t>Table 1</t>
  </si>
  <si>
    <t>Number of road traffic fatalities in Northern Ireland</t>
  </si>
  <si>
    <t>Table 2</t>
  </si>
  <si>
    <t>Number of people seriously injuries in road collisions in Northern Ireland</t>
  </si>
  <si>
    <t>Table 3</t>
  </si>
  <si>
    <t>Number of children (0-15 years) killed or seriously injured (KSIs) in road traffic collisions</t>
  </si>
  <si>
    <t>Table 4</t>
  </si>
  <si>
    <t>Number of young people (16-24 years) killed or seriously injured (KSIs) in road traffic collisions</t>
  </si>
  <si>
    <t>TABLES REPORTING FOR STRATEGY KEY PERFORMANCE INDICATORS</t>
  </si>
  <si>
    <t>Table B</t>
  </si>
  <si>
    <t>Summary table of Key Performance Indicators</t>
  </si>
  <si>
    <t>Table 5</t>
  </si>
  <si>
    <t>Rate of road deaths per 100 million vehicle kilometres</t>
  </si>
  <si>
    <t>Table 5a</t>
  </si>
  <si>
    <t>Rate of road deaths per 100 million vehicle kilometres (5 year rolling average)</t>
  </si>
  <si>
    <t>Table 5b</t>
  </si>
  <si>
    <t>Rate of road deaths based on 95% confidence intervals of 100 million vehicle kilometres</t>
  </si>
  <si>
    <t>Table 6</t>
  </si>
  <si>
    <t>Rate of road deaths per million population</t>
  </si>
  <si>
    <t>Table 6a</t>
  </si>
  <si>
    <t>Rate of road deaths per million population (5 year rolling average)</t>
  </si>
  <si>
    <t>Table 7</t>
  </si>
  <si>
    <t>Rate of pedestrian KSIs per 100 million kilometres walked</t>
  </si>
  <si>
    <t>Table 7a</t>
  </si>
  <si>
    <t>Rate of pedestrian KSIs per 100 million kilometres walked (5 year rolling average)</t>
  </si>
  <si>
    <t>Table 7b</t>
  </si>
  <si>
    <t>Rates of pedestrian KSIs based on 95% confidence intervals of 100 million kilometres walked</t>
  </si>
  <si>
    <t>Table 8</t>
  </si>
  <si>
    <t>Rate of pedal cyclist KSIs per 100 million kilometres cycled</t>
  </si>
  <si>
    <t>Table 8a</t>
  </si>
  <si>
    <t>Rate of pedal cyclist KSIs per 100 million kilometres cycled (5 year rolling average)</t>
  </si>
  <si>
    <t>Table 8b</t>
  </si>
  <si>
    <t>Rates of pedal cyclist KSIs based on 95% confidence intervals of 100 million kilometres cycled</t>
  </si>
  <si>
    <t>Table 8c</t>
  </si>
  <si>
    <t>Rates of pedal cyclist KSIs based on 95% confidence intervals of 100 million kilometres cycled (5 year rolling average)</t>
  </si>
  <si>
    <t>Table 9</t>
  </si>
  <si>
    <t>Rate of motorcyclist KSIs per 100 million motorcycle kilometres</t>
  </si>
  <si>
    <t>Table 9a</t>
  </si>
  <si>
    <t>Rate of motorcyclist KSIs per 100 million motorcycle kilometres (5 year rolling average)</t>
  </si>
  <si>
    <t>Table 9b</t>
  </si>
  <si>
    <t>Rates of motorcyclist KSIs based on 95% confidence intervals of 100 million motorcycle kilometres</t>
  </si>
  <si>
    <t>Table 9c</t>
  </si>
  <si>
    <t>Rates of motorcyclist KSIs based on 95% confidence intervals of 100 million motorcycle kilometres (5 year rolling average)</t>
  </si>
  <si>
    <t>Table 10</t>
  </si>
  <si>
    <t>Rate of car users KSIs per 100 million kilometres (cars and vans)</t>
  </si>
  <si>
    <t>Table 10a</t>
  </si>
  <si>
    <t>Rate of car users KSIs per 100 million kilometres (cars and vans) (5 year rolling average)</t>
  </si>
  <si>
    <t>Table 10b</t>
  </si>
  <si>
    <t>Rates of car user KSIs based on 95% confidence intervals of 100 million kilometres (cars and vans)</t>
  </si>
  <si>
    <t>Table 11</t>
  </si>
  <si>
    <t>Rate of fatal and serious collisions per 100 million vehicle kilometres</t>
  </si>
  <si>
    <t>Table 11a</t>
  </si>
  <si>
    <t>Rate of fatal and serious collisions per 100 million vehicle kilometres (5 year rolling average)</t>
  </si>
  <si>
    <t>Table 11b</t>
  </si>
  <si>
    <t>Rates of fatal and serious collisions based on 95% confidence intervals of 100 million vehicle kilometres</t>
  </si>
  <si>
    <t>Table 12</t>
  </si>
  <si>
    <t>Rate of people aged over 70 killed or seriously injured in road collisions</t>
  </si>
  <si>
    <t>Table 12a</t>
  </si>
  <si>
    <t>Rate of people aged over 70 killed or seriously injured in road collisions (5 year rolling average)</t>
  </si>
  <si>
    <t>Table 13</t>
  </si>
  <si>
    <t>Number of people killed in collisions on rural roads</t>
  </si>
  <si>
    <t>Table 13a</t>
  </si>
  <si>
    <t>Number of people killed in collisions on rural roads (5 year rolling average)</t>
  </si>
  <si>
    <t>Table 14</t>
  </si>
  <si>
    <t>Number of children (0-15) killed in collisions on rural roads</t>
  </si>
  <si>
    <t>Table 14a</t>
  </si>
  <si>
    <t>Number of children (0-15) killed in collisions on rural roads (5 year rolling average)</t>
  </si>
  <si>
    <t>Table 15</t>
  </si>
  <si>
    <t>Number of people killed where alcohol/drugs causation factor was attributed</t>
  </si>
  <si>
    <t>Table 15a</t>
  </si>
  <si>
    <t>Number of people killed where alcohol/drugs causation factor was attributed (5 year rolling average)</t>
  </si>
  <si>
    <t>Table 16</t>
  </si>
  <si>
    <t>Number of car occupants killed who were not wearing a seatbelt</t>
  </si>
  <si>
    <t>Table 16a</t>
  </si>
  <si>
    <t>Number of car occupants killed who were not wearing a seatbelt (5 year rolling average)</t>
  </si>
  <si>
    <t>Table 17</t>
  </si>
  <si>
    <t>Rate of pedestrians killed or seriously injured (KSIs) per 100,000 population in 10 per cent most deprived areas compared with 10 per cent least deprived (Collision SOA)</t>
  </si>
  <si>
    <t>Table 17a</t>
  </si>
  <si>
    <t>Rate of pedestrians killed or seriously injured (KSIs) per 100,000 population in 10 per cent most deprived areas compared with 10 per cent least deprived (Collision SOA) (5 year rolling average)</t>
  </si>
  <si>
    <t>Table 18</t>
  </si>
  <si>
    <t>Rate of child pedestrians killed or seriously injured (KSIs) per 100,000 population in 10 per cent most deprived areas compared with 10 per cent least deprived (Collision SOA)</t>
  </si>
  <si>
    <t>Table 18a</t>
  </si>
  <si>
    <t>Rate of child pedestrians killed or seriously injured (KSIs) per 100,000 population in 10 per cent most deprived areas compared with 10 per cent least deprived (Collision SOA) (5 year rolling average)</t>
  </si>
  <si>
    <t>Table 19</t>
  </si>
  <si>
    <t>Rate of pedestrians killed or seriously injured (KSIs) per 100,000 population in 10 per cent most deprived areas compared with 10 per cent least deprived (Casualty Address SOA)</t>
  </si>
  <si>
    <t>Table 19a</t>
  </si>
  <si>
    <t>Rate of pedestrians killed or seriously injured (KSIs) per 100,000 population in 10 per cent most deprived areas compared with 10 per cent least deprived (Casualty Address SOA) (5 year rolling average)</t>
  </si>
  <si>
    <t>Table 20</t>
  </si>
  <si>
    <t>Rate of child pedestrians killed or seriously injured (KSIs) per 100,000 population in 10 per cent most deprived areas compared with 10 per cent least deprived (Casualty Address SOA)</t>
  </si>
  <si>
    <t>Table 20a</t>
  </si>
  <si>
    <t>Rate of child pedestrians killed or seriously injured (KSIs) per 100,000 population in 10 per cent most deprived areas compared with 10 per cent least deprived (Casualty Address SOA) (5 year rolling average)</t>
  </si>
  <si>
    <t>Table 21</t>
  </si>
  <si>
    <t>Number of KSIs resulting from collisions involving drivers under the age of 25</t>
  </si>
  <si>
    <t>Table 21a</t>
  </si>
  <si>
    <t>Number of KSIs resulting from collisions involving drivers under the age of 25 (5 year rolling average)</t>
  </si>
  <si>
    <t>Table 22</t>
  </si>
  <si>
    <t>Number of KSI casualties resulting from collisions involving a novice driver</t>
  </si>
  <si>
    <t>Table 22a</t>
  </si>
  <si>
    <t>Number of KSI casualties resulting from collisions involving a novice driver (0-6 months post test) (3 year rolling average)</t>
  </si>
  <si>
    <t>Table 22b</t>
  </si>
  <si>
    <t>Number of KSI casualties resulting from collisions involving a novice driver (7-12 months post test) (3 year rolling average)</t>
  </si>
  <si>
    <t>Table 22c</t>
  </si>
  <si>
    <t>Number of KSI casualties resulting from collisions involving a novice driver (13-18 months post test) (3 year rolling average)</t>
  </si>
  <si>
    <t>Table 22d</t>
  </si>
  <si>
    <t>Number of KSI casualties resulting from collisions involving a novice driver (19-24 months post test) (3 year rolling average)</t>
  </si>
  <si>
    <t>Table 22e</t>
  </si>
  <si>
    <t>Number of KSI casualties resulting from collisions involving a novice driver (0-24 months post test) (3 year rolling average)</t>
  </si>
  <si>
    <t>Table 22f</t>
  </si>
  <si>
    <t>Sampling errors around novice driver KSI casualty rates based on 95% confidence interval</t>
  </si>
  <si>
    <t>Table 23</t>
  </si>
  <si>
    <t>Proportion of vehicles exceeding the speed limit by road type</t>
  </si>
  <si>
    <t>Table 23a</t>
  </si>
  <si>
    <t>Proportion of vehicles exceeding the speed limit on built-up roads (up to 40mph)</t>
  </si>
  <si>
    <t>Table 23b</t>
  </si>
  <si>
    <t>Proportion of vehicles exceeding the speed limit on dual carriageways</t>
  </si>
  <si>
    <t>Table 23c</t>
  </si>
  <si>
    <t>Proportion of vehicles exceeding the speed limit on motorways</t>
  </si>
  <si>
    <t>Table 23d</t>
  </si>
  <si>
    <t>Proportion of vehicles exceeding the speed limit on single carriageways (above 40mph)</t>
  </si>
  <si>
    <t>Table 24</t>
  </si>
  <si>
    <t>Reasons why respondents feel unsafe when walking by the road</t>
  </si>
  <si>
    <t>Table 24a</t>
  </si>
  <si>
    <t>95% confidence interval around reasons why people feel unsafe when walking by the road</t>
  </si>
  <si>
    <t>Table 25</t>
  </si>
  <si>
    <t>Reasons why respondents feel unsafe when cycling on the road</t>
  </si>
  <si>
    <t>Table 25a</t>
  </si>
  <si>
    <t>95% confidence interval around reasons why people feel unsafe when cycling on the road</t>
  </si>
  <si>
    <t>Table 26</t>
  </si>
  <si>
    <t>Number of KSIs resulting from collisions involving Heavy Goods Vehicles (HGV)</t>
  </si>
  <si>
    <t>Table 26a</t>
  </si>
  <si>
    <t>Number of KSIs resulting from collisions involving Heavy Goods Vehicles (HGV) (5 year rolling average)</t>
  </si>
  <si>
    <t>Table 27</t>
  </si>
  <si>
    <t>Number of KSIs resulting from collisions involving Vans</t>
  </si>
  <si>
    <t>Table 27a</t>
  </si>
  <si>
    <t>Number of KSIs resulting from collisions involving Vans (5 year rolling average)</t>
  </si>
  <si>
    <t>Table 28</t>
  </si>
  <si>
    <t>Number of KSIs resulting from collisions involving Buses</t>
  </si>
  <si>
    <t>Table 28a</t>
  </si>
  <si>
    <t>Number of KSIs resulting from collisions involving Buses (5 year rolling average)</t>
  </si>
  <si>
    <t>Table 29</t>
  </si>
  <si>
    <t>Number of KSIs resulting from collisions involving Taxis</t>
  </si>
  <si>
    <t>Table 29a</t>
  </si>
  <si>
    <t>Number of KSIs resulting from collisions involving Taxis (5 year rolling average)</t>
  </si>
  <si>
    <t>Table 30</t>
  </si>
  <si>
    <t>Number of KSIs resulting from collisions involving car drivers aged 17 to 23</t>
  </si>
  <si>
    <t>Table 30a</t>
  </si>
  <si>
    <t>Number of KSIs resulting from collisions involving car drivers aged 17 to 23 (5 year rolling average)</t>
  </si>
  <si>
    <t>Table 31</t>
  </si>
  <si>
    <t>Age of Passenger KSIs that were travelling in a car with a driver aged 17-23</t>
  </si>
  <si>
    <t>Table 31a</t>
  </si>
  <si>
    <t>Age of Passenger KSIs that were travelling in a car with a driver aged 17-23 (5 year rolling average)</t>
  </si>
  <si>
    <t>Table 32</t>
  </si>
  <si>
    <t>KSIs resulting from collisions involving Learner and Restricted drivers and motorcyclists responsible for the collision</t>
  </si>
  <si>
    <t>Table 32a</t>
  </si>
  <si>
    <t>KSIs resulting from collisions involving Learner and Restricted drivers and motorcyclists responsible for the collision (5 year rolling average)</t>
  </si>
  <si>
    <t>Table 33</t>
  </si>
  <si>
    <t>Number of KSIs resulting from collisions involving car drivers aged 17 to 23 who were responsible for the collision where the principal causation factor was, 'Excessive speed having regard to conditions'</t>
  </si>
  <si>
    <t>Table 33a</t>
  </si>
  <si>
    <t>Number of KSIs resulting from collisions involving car drivers aged 17 to 23 who were responsible for the collision where the principal causation factor was, 'Excessive speed having regard to conditions' (5 year rolling average)</t>
  </si>
  <si>
    <t>Table 34</t>
  </si>
  <si>
    <t>Number of Motorcyclist KSIs split by responsibility</t>
  </si>
  <si>
    <t>Table 34a</t>
  </si>
  <si>
    <t>Number of Motorcyclist KSIs split by responsibility (5 year rolling average)</t>
  </si>
  <si>
    <t>Table 35</t>
  </si>
  <si>
    <t>Number of KSIs by Road Type</t>
  </si>
  <si>
    <t>Table 35a</t>
  </si>
  <si>
    <t>Number of KSIs by Road Type (5 year rolling average)</t>
  </si>
  <si>
    <t>Table 36</t>
  </si>
  <si>
    <t>Number of KSI casualties where a car driver was responsible and 'Inattention or attention diverted' was the causation factor</t>
  </si>
  <si>
    <t>Table 36a</t>
  </si>
  <si>
    <t>Number of KSI casualties where a car driver was responsible and 'Inattention or attention diverted' was the causation factor (5 year rolling average)</t>
  </si>
  <si>
    <t>Table 37</t>
  </si>
  <si>
    <t>INSERT TITLE HERE</t>
  </si>
  <si>
    <t>Table 38</t>
  </si>
  <si>
    <t>USEFUL INFORMATION</t>
  </si>
  <si>
    <t>User Guidance</t>
  </si>
  <si>
    <t>Glossary</t>
  </si>
  <si>
    <t>Strategy Target</t>
  </si>
  <si>
    <t>Target</t>
  </si>
  <si>
    <t>2014-2018 Baseline</t>
  </si>
  <si>
    <t>Current Year Percentage (%) change from Previous Year*</t>
  </si>
  <si>
    <t>Trend assessment</t>
  </si>
  <si>
    <t>Rolling average 2020-2024</t>
  </si>
  <si>
    <t>Rolling Average Percentage (%) change from the Baseline*</t>
  </si>
  <si>
    <t>Number of road traffic serious injuries in Northern Ireland</t>
  </si>
  <si>
    <t>Notes</t>
  </si>
  <si>
    <t>*Percentage changes have been calculated using unrounded data.</t>
  </si>
  <si>
    <t>Key</t>
  </si>
  <si>
    <t>Strategy Target 1: To reduce the number of people killed in road collisions by at least 50% by 2030</t>
  </si>
  <si>
    <t>Number of road traffic fatalities</t>
  </si>
  <si>
    <t>Northern Ireland (2014-2024)</t>
  </si>
  <si>
    <t>Year</t>
  </si>
  <si>
    <t>Fatalities*</t>
  </si>
  <si>
    <t>Percentage change from baseline</t>
  </si>
  <si>
    <t>Percentage change from last year</t>
  </si>
  <si>
    <t>Number of road traffic fatalities in Northern Ireland, 2014-2024</t>
  </si>
  <si>
    <t>2014-2018 
Baseline</t>
  </si>
  <si>
    <t>*Source: Police Service of Northern Ireland (PSNI) Road Traffic Casualty Statistics</t>
  </si>
  <si>
    <t>Table 1a</t>
  </si>
  <si>
    <t>Number of road traffic fatalities 
(5 year rolling average)</t>
  </si>
  <si>
    <t>Percentage change from last period</t>
  </si>
  <si>
    <t>2014 - 2018</t>
  </si>
  <si>
    <t>2015 - 2019</t>
  </si>
  <si>
    <t>2016 - 2020</t>
  </si>
  <si>
    <t>2017 - 2021</t>
  </si>
  <si>
    <t>2018 - 2022</t>
  </si>
  <si>
    <t>2019 - 2023</t>
  </si>
  <si>
    <t>2020 - 2024</t>
  </si>
  <si>
    <t>2014 - 2018 Baseline</t>
  </si>
  <si>
    <t>Number of road traffic fatalities in Northern Ireland 
(5 year rolling average), 2014-2024</t>
  </si>
  <si>
    <t>Strategy Target 2: To reduce the number of people seriously injured in road collisions by at least 50% by 2030</t>
  </si>
  <si>
    <t>Number of people seriously injured in road collisions</t>
  </si>
  <si>
    <t>People seriously injured*</t>
  </si>
  <si>
    <t>Number of people seriously injured in road collisions in Northern Ireland, 2014-2024</t>
  </si>
  <si>
    <t>Table 2a</t>
  </si>
  <si>
    <t>Number of people seriously injured in road collisions 
(5 year rolling average)</t>
  </si>
  <si>
    <t>2014 - 2018 baseline</t>
  </si>
  <si>
    <t>Number of people seriously injured in road collisions in Northern Ireland (5 year rolling average), 2014-2024</t>
  </si>
  <si>
    <t>Strategy Target 3: To reduce the number of children (aged 0-15) killed or seriously injured in road collisions by at least 60% by 2030</t>
  </si>
  <si>
    <t>Child KSIs*</t>
  </si>
  <si>
    <t>Number of children (0-15 years) killed or seriously injured (KSIs) in road traffic collisions, 2014-2024</t>
  </si>
  <si>
    <t>Table 3a</t>
  </si>
  <si>
    <t>Number of children (0-15 years) killed or seriously injured (KSIs) in road traffic collisions 
(5 year rolling average)</t>
  </si>
  <si>
    <t>Number of children (0-15 years) killed or seriously injured (KSIs) in road traffic collisions (5 year rolling average), 2014-2024</t>
  </si>
  <si>
    <t>Strategy Target 4: To reduce the number of young people (aged 16-24) killed or seriously injured in road collisions by at least 60% by 2030</t>
  </si>
  <si>
    <t>Young People KSIs*</t>
  </si>
  <si>
    <t>Number of young people (16-24 years) killed or seriously injured (KSIs) in road traffic collisions, 2014-2024</t>
  </si>
  <si>
    <t>Table 4a</t>
  </si>
  <si>
    <t>Number of young people (16-24 years) killed or seriously injured (KSIs) in road traffic collisions (5 year rolling average)</t>
  </si>
  <si>
    <t>Number of young people (16-24 years) killed or seriously injured (KSIs) in road traffic collisions (5 year rolling average), 2014-2024</t>
  </si>
  <si>
    <t>Key Performance Indicator</t>
  </si>
  <si>
    <t>Current Year Percentage (%) change from Previous Year**</t>
  </si>
  <si>
    <t>Rolling average 2020 - 2024</t>
  </si>
  <si>
    <t>Rolling Average Percentage (%) change from Baseline**</t>
  </si>
  <si>
    <t>Population Level</t>
  </si>
  <si>
    <t>Travel Mode - Pedestrian and Car User</t>
  </si>
  <si>
    <t>Travel Mode - Pedal Cyclist and Motorcyclist</t>
  </si>
  <si>
    <t>Age Related</t>
  </si>
  <si>
    <t>Rural</t>
  </si>
  <si>
    <t>Socio-Economic</t>
  </si>
  <si>
    <t>2012-2014 Baseline</t>
  </si>
  <si>
    <t>Perception of road safety</t>
  </si>
  <si>
    <t>2014-2016 Baseline</t>
  </si>
  <si>
    <t>Novice drivers</t>
  </si>
  <si>
    <t>2014 Baseline</t>
  </si>
  <si>
    <t>Exceeding the speed limit</t>
  </si>
  <si>
    <t>Current Year Percentage Point change from Previous Year**</t>
  </si>
  <si>
    <t>Rolling Average Percentage Point change from Baseline**</t>
  </si>
  <si>
    <t>Different Vehicles</t>
  </si>
  <si>
    <t>Young / Novice Drivers</t>
  </si>
  <si>
    <t>Motorcyclists</t>
  </si>
  <si>
    <t>KSIs by road type</t>
  </si>
  <si>
    <t>Rate of road deaths per 100 million vehicle kilometres (KPI 1)</t>
  </si>
  <si>
    <t>Rate of road deaths per million population (KPI 2)</t>
  </si>
  <si>
    <t>Rate of fatal and serious collisions per 100 million vehicle kilometres (KPI 7)</t>
  </si>
  <si>
    <t>Number of people killed where at least one person involved was over the legal blood alcohol limit (KPI 11)</t>
  </si>
  <si>
    <t>Number of car occupants killed who were not wearing a seatbelt (KPI 12)</t>
  </si>
  <si>
    <t>Rate of pedestrian KSIs per 100 million kilometres walked (KPI 3)</t>
  </si>
  <si>
    <t>Rate of car users KSIs per 100 million kilometres (cars &amp; vans) (KPI 6)</t>
  </si>
  <si>
    <t>Rate of pedal cyclist KSIs per 100 million kilometres cycled (KPI 4)</t>
  </si>
  <si>
    <t>Rate of motorcyclist KSIs per 100 million motorcycle kilometres (KPI 5)</t>
  </si>
  <si>
    <t>Rate of people aged over 70 killed or seriously injured in road collisions per 100,000 population aged over 70 (KPI 8)</t>
  </si>
  <si>
    <t>Number of KSIs resulting from collisions involving drivers under the age of 25 (KPI 17)</t>
  </si>
  <si>
    <t>Number of people killed in collisions on rural roads (KPI 9)</t>
  </si>
  <si>
    <t>Number of children (0-15) killed in collisions on rural roads (KPI 10)</t>
  </si>
  <si>
    <t>Rate of pedestrians killed or seriously injured per 100,000 population in 10 per cent most deprived areas (Collision SOA) * (KPI 13)</t>
  </si>
  <si>
    <t>Rate of pedestrians killed or seriously injured per 100,000 population in 10  per cent least deprived areas (Collisions SOA) * (KPI 13)</t>
  </si>
  <si>
    <t>Rate of child pedestrians killed or seriously injured per 100,000 population in 10 per cent most deprived areas (Collisions SOA) * (KPI 14)</t>
  </si>
  <si>
    <t>Rate of child pedestrians killed or seriously injured per 100,000 population in 10 per cent least deprived areas (Collisions SOA) * (KPI 14)</t>
  </si>
  <si>
    <t>Proportion of respondents who gave reasons for feeling unsafe when walking on the road (3 year rolling average) (KPI 20)</t>
  </si>
  <si>
    <t>Proportion of respondents who gave reasons for feeling unsafe when cycling on the road  (3 year rolling average) (KPI 20)</t>
  </si>
  <si>
    <t>Number of KSI casualties resulting from collisions involving a novice driver (0-6 months post test) (3 year rolling average) (KPI 18)</t>
  </si>
  <si>
    <t>Number of KSI casualties resulting from collisions involving a novice driver (7-12 months post test) (3 year rolling average) (KPI 18)</t>
  </si>
  <si>
    <t>Number of KSI casualties resulting from collisions involving a novice driver (13-18 months post test) (3 year rolling average) (KPI 18)</t>
  </si>
  <si>
    <t>Number of KSI casualties resulting from collisions involving a novice driver (19-24 months post test) (3 year rolling average) (KPI 18)</t>
  </si>
  <si>
    <t>Number of KSI casualties resulting from collisions involving a novice driver (0-24 months post test) (3 year rolling average) (KPI 18)</t>
  </si>
  <si>
    <t>Proportion of vehicles exceeding the speed limit on built-up 30/40 mph roads (11pm - 7am (free running)) (KPI 19)</t>
  </si>
  <si>
    <t>Proportion of vehicles exceeding the speed limit on dual carriageways (11pm - 7am (free running)) (KPI 19)</t>
  </si>
  <si>
    <t>Proportion of vehicles exceeding the speed limit on motorways (11pm - 7am (free running)) (KPI 19)</t>
  </si>
  <si>
    <t>Proportion of vehicles exceeding the speed limit on single carriageways &gt;40 mph (11pm - 7am (free running)) (KPI 19)</t>
  </si>
  <si>
    <t>Percentage of KSIs resulting from collisions involving HGVs where the HGV driver was responsible (KPI 22)</t>
  </si>
  <si>
    <t>Percentage of KSIs resulting from collisions involving Vans where the Van driver was responsible (KPI 23)</t>
  </si>
  <si>
    <t>Percentage of KSIs resulting from collisions involving Buses where the Bus driver was responsible (KPI 24)</t>
  </si>
  <si>
    <t>Percentage of KSIs resulting from collisions involving Taxis where the Taxi driver was responsible (KPI 25)</t>
  </si>
  <si>
    <t>Percentage of KSIs resulting from collisions involving car drivers aged 17 to 23 where the car driver aged 17-23 was responsible (KPI 26)</t>
  </si>
  <si>
    <t>Percentage of passengers travelling with car driver aged 17-23 that were aged 14-20 (KPI 27)</t>
  </si>
  <si>
    <t>KSIs resulting from collisions involving learner drivers responsible for the collision (KPI 28)</t>
  </si>
  <si>
    <t>KSIs resulting from collisions involving restricted drivers responsible for the collision (KPI 28)</t>
  </si>
  <si>
    <t>KSIs resulting from collisions involving learner motorcyclists responsible for the collision (KPI 28)</t>
  </si>
  <si>
    <t>KSIs resulting from collisions involving restricted motorcyclists responsible for the collision (KPI 28)</t>
  </si>
  <si>
    <t>Number of KSIs resulting from collisions involving car drivers aged 17 to 23 who were responsible for the collision where the principal causation factor was, 'Excessive speed having regard to conditions' (KPI 29)</t>
  </si>
  <si>
    <t>Percentage of motorcyclists KSIs responsible for own injuries (KPI 30)</t>
  </si>
  <si>
    <t>KSIs on rural roads (KPI 31)</t>
  </si>
  <si>
    <t>KSIs on urban roads (KPI 31)</t>
  </si>
  <si>
    <t>KSIs on motorways/dual carriageways (KPI 31)</t>
  </si>
  <si>
    <t>-</t>
  </si>
  <si>
    <t>Notes:</t>
  </si>
  <si>
    <t>* The deprivation marker is based on where the collision occurred rather than where the casualty lived.</t>
  </si>
  <si>
    <t>** Percentage changes have been calculated using unrounded data. Where a '-' appears in a column relating to percentages the calculated percentage has been removed. This is due to the percentage being calculated where the denominator is less than or equal to ten. The percentage in these instances may skew the interpretation of the results and as such the user may wish to acknowledge the small numbers rather than view the percentage. Where a rate has been calculated from base data greater than ten, the percentages have been reported regardless of the value of the rate.</t>
  </si>
  <si>
    <t>Key Performance Indicator 1</t>
  </si>
  <si>
    <t>Miles travelled</t>
  </si>
  <si>
    <t>Kms travelled</t>
  </si>
  <si>
    <t>Population</t>
  </si>
  <si>
    <t>Vehicle Kilometres (100 million)**</t>
  </si>
  <si>
    <t>Rate</t>
  </si>
  <si>
    <t>Percentage change over the year</t>
  </si>
  <si>
    <t>Rate of road deaths per 100 million vehicle kilometres, 2014-2024</t>
  </si>
  <si>
    <t>* Source: Police Service of Northern Ireland (PSNI) Road Traffic Casualty Statistics</t>
  </si>
  <si>
    <t>** Source: Travel Survey for Northern Ireland, Department for Infrastructure, 
NISRA Mid-Year population estimates</t>
  </si>
  <si>
    <t>Rate of road deaths per 100 million vehicle kilometres 
(5 year rolling average)</t>
  </si>
  <si>
    <t>Rate of road deaths per 100 million vehicle kilometres 
(5 year rolling average), 2014-2024</t>
  </si>
  <si>
    <t>Rate of road deaths based on 95% confidence intervals of  
100 million vehicle kilometres</t>
  </si>
  <si>
    <t>Upper 95% confidence limit</t>
  </si>
  <si>
    <t>Upper Error</t>
  </si>
  <si>
    <t>Lower Error</t>
  </si>
  <si>
    <t>Fatalities</t>
  </si>
  <si>
    <t>Published Rate</t>
  </si>
  <si>
    <t>Lower 95% confidence limit</t>
  </si>
  <si>
    <t>Rate of road deaths based on 95% confidence intervals of  
100 million vehicle kilometres, 2014-2024</t>
  </si>
  <si>
    <t>Source: Police Service of Northern Ireland (PSNI) Road Traffic Casualty Statistics</t>
  </si>
  <si>
    <t>Source: Travel Survey for Northern Ireland, Department for Infrastructure, 
NISRA Mid-Year population estimates</t>
  </si>
  <si>
    <t>Key Performance Indicator 2</t>
  </si>
  <si>
    <t>Population**</t>
  </si>
  <si>
    <t>Population (millions)**</t>
  </si>
  <si>
    <t>Rate of road deaths per million population, 2014-2024</t>
  </si>
  <si>
    <t>Rate of road deaths per million population 
(5 year rolling average)</t>
  </si>
  <si>
    <t>Rate of road deaths per million population (5 year rolling average), 2014-2024</t>
  </si>
  <si>
    <t>Key Performance Indicator 3</t>
  </si>
  <si>
    <t>Pedestrian KSIs*</t>
  </si>
  <si>
    <t>Miles walked</t>
  </si>
  <si>
    <t>Kilometres walked (100 million)**</t>
  </si>
  <si>
    <t>Rate of pedestrian KSIs per 100 million kilometres walked, 2014-2024</t>
  </si>
  <si>
    <t>Rate of pedestrian KSIs per 100 million kilometres walked 
(5 year rolling average)</t>
  </si>
  <si>
    <t>Kms walked</t>
  </si>
  <si>
    <t>Rate of pedestrian KSIs per 100 million kilometres walked 
(5 year rolling average), 2014-2024</t>
  </si>
  <si>
    <t>Rate of pedestrian KSIs based on 95% confidence intervals of 100 million vehicle walked</t>
  </si>
  <si>
    <t>KSIs</t>
  </si>
  <si>
    <t>Rate of pedestrian KSIs based on 95% confidence intervals of 100 million vehicle walked, 2014-2024</t>
  </si>
  <si>
    <t>Key Performance Indicator 4</t>
  </si>
  <si>
    <t>Pedal Cyclist KSIs*</t>
  </si>
  <si>
    <t>Miles cycled</t>
  </si>
  <si>
    <t>Kms Cycled</t>
  </si>
  <si>
    <t>Kilometres cycled (100 million)**</t>
  </si>
  <si>
    <t>Rate of pedal cyclist KSIs per 100 million kilometres cycled, 2014-2024</t>
  </si>
  <si>
    <t>Rate of pedal cyclist KSIs per 100 million kilometres cycled 
(5 year rolling average)</t>
  </si>
  <si>
    <t>Miles Cycled</t>
  </si>
  <si>
    <t>Rate of pedal cyclist KSIs per 100 million kilometres cycled 
(5 year rolling average), 2014-2024</t>
  </si>
  <si>
    <t>Rate of pedal cyclist KSIs based on 95% confidence intervals of  
100 million kilometres cycled</t>
  </si>
  <si>
    <t>Pedal Cyclist KSIs</t>
  </si>
  <si>
    <t>Rate of pedal cyclist KSIs based on 95% confidence intervals of 100 million kilometres cycled, 2014-2024</t>
  </si>
  <si>
    <t>Rate of pedal cyclist KSIs based on 95% confidence intervals of  
100 million kilometres cycled (5 year rolling average)</t>
  </si>
  <si>
    <t>Rate of pedal cyclist KSIs based on 95% confidence intervals of  
100 million kilometres cycled, (5 year rolling average), 2014-2024</t>
  </si>
  <si>
    <t>Key Performance Indicator 5</t>
  </si>
  <si>
    <t>Motorcyclist KSIs*</t>
  </si>
  <si>
    <t>Miles travelled by motorcycle</t>
  </si>
  <si>
    <t>Kms travelled by motorcycle</t>
  </si>
  <si>
    <t>Motorcycle Kilometres (100 million)**</t>
  </si>
  <si>
    <t>Rate of motorcyclist KSIs per 100 million motorcycle kilometres, 2014-2024</t>
  </si>
  <si>
    <t>Rate of motorcyclist KSIs per 100 million motorcycle kilometres 
(5 year rolling average)</t>
  </si>
  <si>
    <t>motorcycle_miles</t>
  </si>
  <si>
    <t>Rate of motorcyclist KSIs per 100 million motorcycle kilometres 
(5 year rolling average), 2014-2024</t>
  </si>
  <si>
    <t>Rate of motor cyclist KSIs based on 95% confidence intervals of  
100 million motorcycle kilometres</t>
  </si>
  <si>
    <t>Motorcyclist KSIs</t>
  </si>
  <si>
    <t>Rate of motorcyclist KSIs based on 95% confidence intervals of  
100 million motorcycle kilometres, 2014-2024</t>
  </si>
  <si>
    <t>Rate of motor cyclist KSIs based on 95% confidence intervals of  
100 million motorcycle kilometres (5 year rolling average)</t>
  </si>
  <si>
    <t>Rate of motor cyclist KSIs based on 95% confidence intervals of  
100 million motorcycle kilometres, (5 year rolling average), 2014-2024</t>
  </si>
  <si>
    <t>Key Performance Indicator 6</t>
  </si>
  <si>
    <t>Rate of car user KSIs per 100 million kilometres (cars and vans)</t>
  </si>
  <si>
    <t>Car User KSIs*</t>
  </si>
  <si>
    <t>Car Kilometres (100 million)**</t>
  </si>
  <si>
    <t>Rate of car user KSIs per 100 million kilometres (cars and vans), 2014-2024</t>
  </si>
  <si>
    <t>*Source: Police Service of Northern Ireland (PSNI) Road Traffic Casualty Statistics 
Refers to occupants of either a car, car used as taxi, hackney cab, or Light Goods Vehicle (LGV) who were killed or seriously injured.</t>
  </si>
  <si>
    <t>Rate of car user KSIs per 100 million  kilometres (cars and vans) 
(5 year rolling average)</t>
  </si>
  <si>
    <t>Rate of car user KSIs per 100 million kilometres (cars and vans) 
(5 year rolling average), 2014-2024</t>
  </si>
  <si>
    <t>Rate of car user KSIs based on 95% confidence intervals of  
100 million kilometres (cars and vans)</t>
  </si>
  <si>
    <t>Rate of car user KSIs based on 95% confidence intervals of  
100 million vehicle kilometres (cars and vans), 2014-2024</t>
  </si>
  <si>
    <t>Key Performance Indicator 7</t>
  </si>
  <si>
    <t>Fatal and Serious Collisions*</t>
  </si>
  <si>
    <t>Rate of fatal and serious collisions per 100 million vehicle kilometres, 2014-2024</t>
  </si>
  <si>
    <t>Rate of fatal and serious collisions per 100 million vehicle kilometres 
(5 year rolling average)</t>
  </si>
  <si>
    <t>Rate of fatal and serious collisions per 100 million vehicle kilometres 
(5 year rolling average), 2014-2024</t>
  </si>
  <si>
    <t>Rate of fatal and serious collisions based on 95% confidence intervals of 100 million vehicle kilometres</t>
  </si>
  <si>
    <t>Fatal and Serious Collisions</t>
  </si>
  <si>
    <t>Rate of fatal and serious based on 95% confidence intervals of  
100 million vehicle kilometres, 2014-2024</t>
  </si>
  <si>
    <t>Key Performance Indicator 8</t>
  </si>
  <si>
    <t>Rate of people aged over 70 killed or seriously injured in road collisions 
per 100,000 population aged over 70</t>
  </si>
  <si>
    <t>Persons aged over 70 KSIs*</t>
  </si>
  <si>
    <t>N.I. Population aged over 70**</t>
  </si>
  <si>
    <t>N.I. Population aged over 70 (100,000)</t>
  </si>
  <si>
    <t>Number of KSIs per 100,000</t>
  </si>
  <si>
    <t>Rate of people aged over 70 killed or seriously injured in road collisions 
per 100,000 population aged over 70, 2014-2024</t>
  </si>
  <si>
    <t>** Source: NISRA Mid-Year population estimates</t>
  </si>
  <si>
    <t>Rate of people aged over 70 killed or seriously injured in road collisions per 100,000 population aged over 70 
(5 year rolling average)</t>
  </si>
  <si>
    <t>Rate of people aged over 70 killed or seriously injured in road collisions per 100,000 population aged over 70 
(5 year rolling average), 2014-2024</t>
  </si>
  <si>
    <t>Key Performance Indicator 9</t>
  </si>
  <si>
    <t>Fatalities (Rural Roads)*</t>
  </si>
  <si>
    <t>Number of people killed in collisions on rural roads, 2014-2024</t>
  </si>
  <si>
    <t>Number of people killed in collisions on rural roads 
(5 year rolling average)</t>
  </si>
  <si>
    <t>Number of people killed in collisions on rural roads 
(5 year rolling average), 2014-2024</t>
  </si>
  <si>
    <t>Key Performance Indicator 10</t>
  </si>
  <si>
    <t>Fatalities (Children)*</t>
  </si>
  <si>
    <t>Number of children (0-15) killed in collisions on rural roads, 2014-2024</t>
  </si>
  <si>
    <t>Number of children (0-15) killed in collisions on rural roads 
(5 year rolling average), 2014-2024</t>
  </si>
  <si>
    <t>Key Performance Indicator 11</t>
  </si>
  <si>
    <t>Number of people killed where alcohol/drugs causation factor was attributed, 2014-2024</t>
  </si>
  <si>
    <t>Number of people killed where alcohol/drugs causation factor was attributed 
(5 year rolling average)</t>
  </si>
  <si>
    <t>Number of people killed where alcohol/drugs causation factor was attributed 
(5 year rolling average), 2014-2024</t>
  </si>
  <si>
    <t>Please note: The KPI initially set for the strategy sought to report on the number of KSIs where a person involved in a collision was over the legal blood alcohol limit.  Due to the way data is gathered it is not possible to report on the KPI at this level.  It was therefore agreed to report on all KSI's where an alcohol or drug related causation factor was recorded by police as a primary causation factor or an attributing factor.</t>
  </si>
  <si>
    <t>Key Performance Indicator 12</t>
  </si>
  <si>
    <t>Fatalities (no seatbelt)*</t>
  </si>
  <si>
    <t>Number of car occupants killed who were not wearing a seatbelt, 2014-2024</t>
  </si>
  <si>
    <t>*Source: Police Service of Northern Ireland (PSNI) Road Traffic Casualty Statistics 
Refers to occupants of either a car, car used as taxi, hackney cab, or Light Goods Vehicle (LGV) who were killed whilst not using a restraint.  
Please note:  This includes those who were exempt from wearing a restraint</t>
  </si>
  <si>
    <t>Number of car occupants killed who were not wearing a seatbelt 
(5 year rolling average), 2014-2024</t>
  </si>
  <si>
    <t>Key Performance Indicator 13</t>
  </si>
  <si>
    <t>Table 17 (i)</t>
  </si>
  <si>
    <t>Rate of pedestrians killed or seriously injured (KSIs) per 100,000 population in 
10 per cent most deprived areas (Collision SOA)</t>
  </si>
  <si>
    <t>10 % Most Deprived (SOAs)*</t>
  </si>
  <si>
    <t>Number of KSIs**</t>
  </si>
  <si>
    <t>Population***</t>
  </si>
  <si>
    <t>KSIs per 100,000 population</t>
  </si>
  <si>
    <t>Rate of pedestrians killed or seriously injured (KSIs) per 100,000 population in 10 per cent 
most deprived areas compared with 10 per cent least deprived (Collision SOA), 2014-2024</t>
  </si>
  <si>
    <t>*Source: NISRA Northern Ireland Multiple Deprivation Measure 2017</t>
  </si>
  <si>
    <t>**Source: Police Service of Northern Ireland (PSNI) Road Traffic Casualty Statistics</t>
  </si>
  <si>
    <t>***Source: NISRA Mid Year Population Estimates</t>
  </si>
  <si>
    <t>Table 17 (ii)</t>
  </si>
  <si>
    <t>Rate of pedestrians killed or seriously injured (KSIs) per 100,000 population in 
10 per cent least deprived areas (Collision SOA)</t>
  </si>
  <si>
    <t>10 % Least Deprived (SOAs)*</t>
  </si>
  <si>
    <t>Table 17a (i)</t>
  </si>
  <si>
    <t>Rate of pedestrians killed or seriously injured (KSIs) per 100,000 population in 
10 per cent most deprived areas (Collision SOA) 
(5 year rolling average)</t>
  </si>
  <si>
    <t>Rate of pedestrians killed or seriously injured (KSIs) per 100,000 population in 
10 per cent most deprived areas compared with 10 per cent least deprived (Collision SOA) 
(5 year rolling average), 2014-2024</t>
  </si>
  <si>
    <t>Table 17a (ii)</t>
  </si>
  <si>
    <t>Rate of pedestrians killed or seriously injured (KSIs) per 100,000 population in 
10 per cent least deprived areas (Collision SOA) 
(5 year rolling average)</t>
  </si>
  <si>
    <t>Key Performance Indicator 14</t>
  </si>
  <si>
    <t>Table 18 (i)</t>
  </si>
  <si>
    <t>Rate of child pedestrians killed or seriously injured (KSIs) per 100,000 population in 
10 per cent most deprived areas (Collision SOA)</t>
  </si>
  <si>
    <t>Rate of child pedestrians killed or seriously injured (KSIs) per 100,000 population in 10 per cent 
most deprived areas compared with 10 per cent least deprived (Collision SOA), 2014-2024</t>
  </si>
  <si>
    <t>Table 18 (ii)</t>
  </si>
  <si>
    <t>Rate of child pedestrians killed or seriously injured (KSIs) per 100,000 population in 
10 per cent least deprived areas (Collision SOA)</t>
  </si>
  <si>
    <t>Table 18a (i)</t>
  </si>
  <si>
    <t>Rate of child pedestrians killed or seriously injured (KSIs) per 100,000 population in 
10 per cent most deprived areas (Collision SOA) 
(5 year rolling average)</t>
  </si>
  <si>
    <t>Rate of child pedestrians killed or seriously injured (KSIs) per 100,000 population in 
10 per cent most deprived areas compared with 10 per cent least deprived (Collision SOA) 
(5 year rolling average), 2014-2024</t>
  </si>
  <si>
    <t>Table 18a (ii)</t>
  </si>
  <si>
    <t>Rate of child pedestrians killed or seriously injured (KSIs) per 100,000 population in 
10 per cent least deprived areas (Collision SOA) 
(5 year rolling average)</t>
  </si>
  <si>
    <t>Key Performance Indicator 15</t>
  </si>
  <si>
    <t>Table 19 (i)</t>
  </si>
  <si>
    <t>Rate of pedestrians killed or seriously injured (KSIs) per 100,000 population in 
10 per cent most deprived areas (Casualty Address SOA)</t>
  </si>
  <si>
    <t>Rate of pedestrians killed or seriously injured (KSIs) per 100,000 population in 10 per cent 
most deprived areas compared with 10 per cent least deprived (Casualty Address SOA), 2014-2024</t>
  </si>
  <si>
    <t>***Source: NISRA Mid Year Population Estimates 
Casualty data on a residency basis is only available from 2008.</t>
  </si>
  <si>
    <t>Table 19 (ii)</t>
  </si>
  <si>
    <t>Rate of pedestrians killed or seriously injured (KSIs) per 100,000 population in 
10 per cent least deprived areas (Casualty Address SOA)</t>
  </si>
  <si>
    <t>Table 19a (i)</t>
  </si>
  <si>
    <t>Rate of pedestrians killed or seriously injured (KSIs) per 100,000 population in 
10 per cent most deprived areas (Casualty Address SOA) 
(5 year rolling average)</t>
  </si>
  <si>
    <t>Rate of pedestrians killed or seriously injured (KSIs) per 100,000 population in 
10 per cent most deprived areas compared with 10 per cent least deprived (Casualty Address SOA) 
(5 year rolling average), 2014-2024</t>
  </si>
  <si>
    <t>Table 19a (ii)</t>
  </si>
  <si>
    <t>Rate of pedestrians killed or seriously injured (KSIs) per 100,000 population in 
10 per cent least deprived areas (Casualty Address SOA) 
(5 year rolling average)</t>
  </si>
  <si>
    <t>Key Performance Indicator 16</t>
  </si>
  <si>
    <t>Table 20 (i)</t>
  </si>
  <si>
    <t>Rate of child pedestrians killed or seriously injured (KSIs) per 100,000 population in 
10 per cent most deprived areas (Casualty Address SOA)</t>
  </si>
  <si>
    <t>Rate of child pedestrians killed or seriously injured (KSIs) per 100,000 population in 10 per cent 
most deprived areas compared with 10 per cent least deprived (Casualty Address SOA), 2014-2024</t>
  </si>
  <si>
    <t>Table 20 (ii)</t>
  </si>
  <si>
    <t>Rate of child pedestrians killed or seriously injured (KSIs) per 100,000 population in 
10 per cent least deprived areas (Casualty Address SOA)</t>
  </si>
  <si>
    <t>Table 20a (i)</t>
  </si>
  <si>
    <t>Rate of child pedestrians killed or seriously injured (KSIs) per 100,000 population in 
10 per cent most deprived areas (Casualty Address SOA) 
(5 year rolling average)</t>
  </si>
  <si>
    <t>Rate of child pedestrians killed or seriously injured (KSIs) per 100,000 population in 
10 per cent most deprived areas compared with 10 per cent least deprived (Casualty Address SOA) 
(5 year rolling average), 2014-2024</t>
  </si>
  <si>
    <t>Table 20a (ii)</t>
  </si>
  <si>
    <t>Rate of child pedestrians killed or seriously injured (KSIs) per 100,000 population in 
10 per cent least deprived areas (Casualty Address SOA) 
(5 year rolling average)</t>
  </si>
  <si>
    <t>Key Performance Indicator 17</t>
  </si>
  <si>
    <t>Number of KSIs resulting from collisions involving drivers under the age of 25, 2014-2024</t>
  </si>
  <si>
    <t>*Source: Police Service of Northern Ireland (PSNI) Road Traffic Casualty Statistics 
Refers to KSI casualties involving a driver aged under 25 of either a car, car used as taxi, hackney cab, or Light Goods Vehicle (LGV).</t>
  </si>
  <si>
    <t>Number of KSIs resulting from collisions involving drivers under the age of 25 (5 year rolling average), 2014-2024</t>
  </si>
  <si>
    <t>Key Performance Indicator 21</t>
  </si>
  <si>
    <t>Involved</t>
  </si>
  <si>
    <t>Responsible</t>
  </si>
  <si>
    <t>Percentage Responsible</t>
  </si>
  <si>
    <t>Number of KSIs resulting from collisions involving HGVs, 2014-2024</t>
  </si>
  <si>
    <t>*Source: Police Service of Northern Ireland (PSNI) Road Traffic Casualty Statistics 
Refers to KSI casualties in collisions involving a goods vehicle exceeding 3.5 tonnes.</t>
  </si>
  <si>
    <t>Number of KSIs resulting from collisions involving HGVs (5 year rolling average)</t>
  </si>
  <si>
    <t>Number of KSIs resulting from collisions involving HGVs 
(5 year rolling average), 2014-2024</t>
  </si>
  <si>
    <t>Key Performance Indicator 22</t>
  </si>
  <si>
    <t>Number of KSIs resulting from collisions involving Vans, 2014-2024</t>
  </si>
  <si>
    <t>*Source: Police Service of Northern Ireland (PSNI) Road Traffic Casualty Statistics 
Refers to KSI casualties in collisions involving a goods vehicle 3.5 tonnes or less.</t>
  </si>
  <si>
    <t>Number of KSIs resulting from collisions involving Vans 
(5 year rolling average), 2014-2024</t>
  </si>
  <si>
    <t>Key Performance Indicator 23</t>
  </si>
  <si>
    <t>Number of KSIs resulting from collisions involving Buses, 2014-2024</t>
  </si>
  <si>
    <t>*Source: Police Service of Northern Ireland (PSNI) Road Traffic Casualty Statistics 
Refers to KSI casualties in collisions involving a bus or coach with capacity for 17+ passengers.</t>
  </si>
  <si>
    <t>Number of KSIs resulting from collisions involving Buses 
(5 year rolling average), 2014-2024</t>
  </si>
  <si>
    <t>Key Performance Indicator 24</t>
  </si>
  <si>
    <t>Number of KSIs resulting from collisions involving Taxis, 2014-2024</t>
  </si>
  <si>
    <t>*Source: Police Service of Northern Ireland (PSNI) Road Traffic Casualty Statistics
Refers to KSI casualties in collisions involving a Taxi (Hackney) and car being used as a taxi.</t>
  </si>
  <si>
    <t>*Source: Police Service of Northern Ireland (PSNI) Road Traffic Casualty Statistics 
Refers to KSI casualties in collisions involving a Taxi (Hackney) and car being used as a taxi.</t>
  </si>
  <si>
    <t>Key Performance Indicator 25</t>
  </si>
  <si>
    <t>Number of KSIs resulting from collisions involving car drivers aged 17 to 23, 2014-2024</t>
  </si>
  <si>
    <t>Number of KSIs resulting from collisions involving car drivers aged 17 to 23 (5 year rolling average), 2014-2024</t>
  </si>
  <si>
    <t>*Source: Police Service of Northern Ireland (PSNI) Road Traffic Casualty Statistics.</t>
  </si>
  <si>
    <t>Key Performance Indicator 26</t>
  </si>
  <si>
    <t>&lt;14</t>
  </si>
  <si>
    <t>14-20</t>
  </si>
  <si>
    <t>21-24</t>
  </si>
  <si>
    <t>25+</t>
  </si>
  <si>
    <t>Total</t>
  </si>
  <si>
    <t>% aged 14-20</t>
  </si>
  <si>
    <t>% point change from baseline</t>
  </si>
  <si>
    <t>Percentage of passengers travelling with car driver aged 17-23 that were aged 14-20, 2014-2024</t>
  </si>
  <si>
    <t>Percentage of passengers travelling with car driver aged 17-23 that were aged 14-20 
(5 year rolling average), 2014-2024</t>
  </si>
  <si>
    <t>Key Performance Indicator 27</t>
  </si>
  <si>
    <t>Learner Driver</t>
  </si>
  <si>
    <t>Restricted Driver</t>
  </si>
  <si>
    <t>Learner Motorcyclist</t>
  </si>
  <si>
    <t>Restricted Motorcyclist</t>
  </si>
  <si>
    <t>Key Performance Indicator 28</t>
  </si>
  <si>
    <t>Number of KSIs collisions involving car drivers aged 17 to 23 who were responsible for the collision where the principal causation factor was, 'Excessive speed having regard to conditions'</t>
  </si>
  <si>
    <t>KSI collisions caused by young drivers speeding</t>
  </si>
  <si>
    <t>Percentage change from the baselne</t>
  </si>
  <si>
    <t>Number of KSIs collisions involving car drivers aged 17 to 23 who were responsible for the collision where the principal causation factor was, 'Excessive speed having regard to conditions', 2014-2024</t>
  </si>
  <si>
    <t>Number of KSIs collisions involving car drivers aged 17 to 23 who were responsible for the collision where the principal causation factor was, 'Excessive speed having regard to conditions' 
(5 year rolling average)</t>
  </si>
  <si>
    <t>Percentage change from the baseline</t>
  </si>
  <si>
    <t>Number of KSIs collisions involving car drivers aged 17 to 23 who were responsible for the collision where the principal causation factor was, 'Excessive speed having regard to conditions' 
(5 year rolling average), 2014-2024</t>
  </si>
  <si>
    <t>Key Performance Indicator 29</t>
  </si>
  <si>
    <t>Motorcyclist Not Responsible</t>
  </si>
  <si>
    <t>Motorcyclist Responsible</t>
  </si>
  <si>
    <t>Percentage responsible for own injuries</t>
  </si>
  <si>
    <t>Percentage of motorcyclists KSIs responsible for own injuries, 2014-2024</t>
  </si>
  <si>
    <t>Number of Motorcyclist KSIs split by responsibility 
(5 year rolling average)</t>
  </si>
  <si>
    <t>Key Performance Indicator 30</t>
  </si>
  <si>
    <t>Urban</t>
  </si>
  <si>
    <t>Motorway/DCway</t>
  </si>
  <si>
    <t>Number of KSIs by Road Type, 2014-2024</t>
  </si>
  <si>
    <t>*Source: Police Service of Northern Ireland (PSNI) Road Traffic Casualty Statistics 
Rural roads are single carriageway with speed limit over 40 miles per hour, Urban Roads are single carriageway with speed limit up to and including 40 miles per hour</t>
  </si>
  <si>
    <t>Number of KSIs by Road Type 
(5 year rolling average)</t>
  </si>
  <si>
    <t>Number of KSIs by Road Type 
(5 year rolling average), 2014-2024</t>
  </si>
  <si>
    <t>Key Performance Indicator 31</t>
  </si>
  <si>
    <t>Pedestrians</t>
  </si>
  <si>
    <t>Car Users</t>
  </si>
  <si>
    <t>Pedal Cyclists</t>
  </si>
  <si>
    <t>Other Road Users</t>
  </si>
  <si>
    <t>Number of KSI casualties where a car driver was responsible and 'Inattention or attention diverted' was the causation factor, 2014-2024</t>
  </si>
  <si>
    <t>*Source: Police Service of Northern Ireland (PSNI) Road Traffic Casualty Statistics 
Refers to driver of either a car, car used as taxi, hackney cab, or Light Goods Vehicle (LGV)</t>
  </si>
  <si>
    <t>Number of KSI casualties where a car driver was responsible and 'Inattention or attention diverted' was the causation factor 
(5 year rolling average)</t>
  </si>
  <si>
    <t>Pedestrian</t>
  </si>
  <si>
    <t>Number of KSI casualties where a car driver was responsible and 'Inattention or attention diverted' was the causation factor 
(5 year rolling average), 2014-2024</t>
  </si>
  <si>
    <t>This statistics release is the **th of an annual series which will continue to be produced each September over the lifetime of the Northern Ireland Road Safety Strategy to 2030.  
As the strategy progresses KPIs will continue to be reviewed as it may be the case that some are not as reliable as previously envisaged or do not report the data in a meaningful way for assisting and improving road safety.  Users will be informed of any changes to monitoring through this publication.  
All the differences which have been highlighted in the commentary within this report have been tested for statistical significance (p &lt; 0.05). This means that there is at least a 95% probability that there is a genuine difference between results and the difference is not simply explained by random chance or sample error. Where the term 'similar', 'no real difference', 'no real change' or 'around the same' has been used when comparing results, it means that there is no significant difference between the results being compared.</t>
  </si>
  <si>
    <t>Main Data Uses</t>
  </si>
  <si>
    <t>Northern Ireland's Road Safety Strategy to 2030</t>
  </si>
  <si>
    <t>Term</t>
  </si>
  <si>
    <t>Explanation</t>
  </si>
  <si>
    <t>Car Occupants</t>
  </si>
  <si>
    <t>Persons in a car, light goods vehicle, car driven as taxi or hackney cab.</t>
  </si>
  <si>
    <t>Casualty</t>
  </si>
  <si>
    <t>A person who sustains a slight, serious or fatal injury.</t>
  </si>
  <si>
    <t>Children</t>
  </si>
  <si>
    <t>Persons under 16 years of age.</t>
  </si>
  <si>
    <t>Collisions</t>
  </si>
  <si>
    <t>Collisions involving personal injury occurring on the public highway (including footpaths) in which a vehicle is involved.
Collisions are categorised as either 'Fatal', 'Serious' or 'Slight' according to the most severely injured casualty.</t>
  </si>
  <si>
    <t>Drivers under the age of 25</t>
  </si>
  <si>
    <t>Drivers aged under 25 of either a car, car used as taxi, hackney cab, or Light Goods Vehicle (LGV).</t>
  </si>
  <si>
    <t>Killed</t>
  </si>
  <si>
    <t>Died within 30 days from injuries received in a collision.</t>
  </si>
  <si>
    <t>Drivers/riders of mopeds and motorcycles. Includes riders of two-wheeled motor vehicles, motorcycle combinations, scooters and mopeds.</t>
  </si>
  <si>
    <t>Not wearing a seatbelt</t>
  </si>
  <si>
    <t>Occupants of either a car, car used as taxi, hackney cab, or Light Goods Vehicle (LGV) who were not using a restraint.  
Please note:  This includes those who are excempt from wearing a restraint.</t>
  </si>
  <si>
    <t>Novice Driver</t>
  </si>
  <si>
    <t>Driver who has passed their Category B driving test within 24 months</t>
  </si>
  <si>
    <t>Drivers/riders of pedal cycles. Includes children riding toy cycles on the carriageway and the first rider of a tandem.</t>
  </si>
  <si>
    <t>Include children on scooters, roller skates or skateboards; children riding toy cycles on the footpath; persons pushing bicycles or other vehicles or operating pedestrian-controlled vehicles; persons leading or herding animals; occupants of prams or wheelchairs; people who alight safely from vehicles and are subsequently injured; persons pushing or pulling a vehicle; persons other than cyclists holding on to the back of a moving vehicle.</t>
  </si>
  <si>
    <t>Rural roads</t>
  </si>
  <si>
    <t>Roads with a speed limit of greater than 40mph.  Please note: This data excludes motorways and dual carriageways.</t>
  </si>
  <si>
    <t>Serious Injury</t>
  </si>
  <si>
    <t>An injury for which a person is detained in hospital as an 'in-patient', or any of the following injuries whether or not the person is detained in hospital: fractures, concussion, internal injuries, crushings, burns, severe cuts and lacerations or severe general shock requiring medical treatment.</t>
  </si>
  <si>
    <t>Slight Injury</t>
  </si>
  <si>
    <t>An injury of a minor character such as a sprain, bruise or cut not judged to be severe or slight shock requiring roadside attention.</t>
  </si>
  <si>
    <t>Young People</t>
  </si>
  <si>
    <t xml:space="preserve">Persons aged 16 - 24 years. </t>
  </si>
  <si>
    <t>2015-2017</t>
  </si>
  <si>
    <t>2016-2018</t>
  </si>
  <si>
    <t>2017-2019</t>
  </si>
  <si>
    <t>2020-2022</t>
  </si>
  <si>
    <t>2021-2023</t>
  </si>
  <si>
    <t>2022-2024</t>
  </si>
  <si>
    <t>Rolling average 2022 - 2024</t>
  </si>
  <si>
    <t>Key Performance Indicator 18</t>
  </si>
  <si>
    <t>Number of KSI casualties resulting from collisions involving a novice driver
(3 year rolling average)</t>
  </si>
  <si>
    <r>
      <t>Novice Drivers - time held licence</t>
    </r>
    <r>
      <rPr>
        <u/>
        <vertAlign val="superscript"/>
        <sz val="11"/>
        <rFont val="Arial"/>
        <family val="2"/>
      </rPr>
      <t>1,2</t>
    </r>
  </si>
  <si>
    <t>0-6
months</t>
  </si>
  <si>
    <t>7-12
months</t>
  </si>
  <si>
    <t>13-18
months</t>
  </si>
  <si>
    <t>19-24
months</t>
  </si>
  <si>
    <t>0-24
months</t>
  </si>
  <si>
    <t>2014- 2016</t>
  </si>
  <si>
    <t>Novice driver responsible</t>
  </si>
  <si>
    <t>2014-2016</t>
  </si>
  <si>
    <t>2015- 2017</t>
  </si>
  <si>
    <t>2016- 2018</t>
  </si>
  <si>
    <r>
      <t>2016-2018</t>
    </r>
    <r>
      <rPr>
        <vertAlign val="superscript"/>
        <sz val="11"/>
        <rFont val="Arial"/>
        <family val="2"/>
      </rPr>
      <t>r</t>
    </r>
  </si>
  <si>
    <t>2017- 2019</t>
  </si>
  <si>
    <t>2018- 2020</t>
  </si>
  <si>
    <t>2018-2020</t>
  </si>
  <si>
    <t>2019-2021</t>
  </si>
  <si>
    <t>2019- 2021</t>
  </si>
  <si>
    <t>Novice driver not responsible</t>
  </si>
  <si>
    <t>Novice driver involved</t>
  </si>
  <si>
    <r>
      <t xml:space="preserve">1 </t>
    </r>
    <r>
      <rPr>
        <sz val="9"/>
        <rFont val="Arial"/>
        <family val="2"/>
      </rPr>
      <t>Source: Police Service of Northern Ireland (PSNI) Road Traffic Casualty Statistics</t>
    </r>
  </si>
  <si>
    <r>
      <t xml:space="preserve">2 </t>
    </r>
    <r>
      <rPr>
        <sz val="9"/>
        <rFont val="Arial"/>
        <family val="2"/>
      </rPr>
      <t>Source: Driver Vehicle Agency, Department for Infrastructure</t>
    </r>
  </si>
  <si>
    <r>
      <rPr>
        <vertAlign val="superscript"/>
        <sz val="10"/>
        <rFont val="Arial"/>
        <family val="2"/>
      </rPr>
      <t>r</t>
    </r>
    <r>
      <rPr>
        <sz val="9"/>
        <rFont val="Arial"/>
        <family val="2"/>
      </rPr>
      <t xml:space="preserve"> Please note the 2016-2018 figures have been revised slightly as the matching process was refined 
and more data became available.</t>
    </r>
  </si>
  <si>
    <t>**This table refers to KSI casualties resulting from a collision which involved a driver of a car, car used as taxi, hackney cab, or Light Goods Vehicle (LGV) who had held their licence for 24 months or less at the time of the collision.</t>
  </si>
  <si>
    <t>Return to Contents Page</t>
  </si>
  <si>
    <t>Number of KSI casualties resulting from collisions involving a novice driver
(0-6 months post test)
(3 year rolling average)</t>
  </si>
  <si>
    <r>
      <t>KSIs</t>
    </r>
    <r>
      <rPr>
        <vertAlign val="superscript"/>
        <sz val="11"/>
        <color theme="0"/>
        <rFont val="Arial"/>
        <family val="2"/>
      </rPr>
      <t>1,2</t>
    </r>
  </si>
  <si>
    <t>Number of KSI casualties resulting from collisions involving a novice driver
(7-12 months post test)
(3 year rolling average)</t>
  </si>
  <si>
    <t>Novice driver reponsible</t>
  </si>
  <si>
    <t>Number of KSI casualties resulting from collisions involving a novice driver
(13-18 months post test)
(3 year rolling average)</t>
  </si>
  <si>
    <t>Number of KSI casualties resulting from collisions involving a novice driver
(19-24 months post test)
(3 year rolling average)</t>
  </si>
  <si>
    <t>Number of KSI casualties resulting from collisions involving a novice driver
(0-24 months post test)
(3 year rolling average)</t>
  </si>
  <si>
    <t>95% confidence interval around novice driver KSI casualties
(3 year rolling average)</t>
  </si>
  <si>
    <t>(3 Year Rolling Average)</t>
  </si>
  <si>
    <r>
      <t>Novice Drivers - time held licence</t>
    </r>
    <r>
      <rPr>
        <vertAlign val="superscript"/>
        <sz val="11"/>
        <color theme="0"/>
        <rFont val="Arial"/>
        <family val="2"/>
      </rPr>
      <t>1,2</t>
    </r>
  </si>
  <si>
    <t>Sampling errors +/- around published estimates</t>
  </si>
  <si>
    <t>Key Performance Indicator 20</t>
  </si>
  <si>
    <t>Northern Ireland (2012-2019)</t>
  </si>
  <si>
    <t>Percentage of Respondents*</t>
  </si>
  <si>
    <t>Reasons why respondents feel unsafe when walking by the road, 2017-2019</t>
  </si>
  <si>
    <t>2012-2014</t>
  </si>
  <si>
    <t>2013-2015</t>
  </si>
  <si>
    <t>No footpath</t>
  </si>
  <si>
    <t>Heavy traffic</t>
  </si>
  <si>
    <t>Traffic travelling above the speed limit</t>
  </si>
  <si>
    <t>Motorists driving without consideration of pedestrians</t>
  </si>
  <si>
    <t>If footpath is not well lit at night</t>
  </si>
  <si>
    <t>Bad weather</t>
  </si>
  <si>
    <t>Narrow footpath</t>
  </si>
  <si>
    <t>Walking on my own especially at night</t>
  </si>
  <si>
    <t>If condition of footpath is poor</t>
  </si>
  <si>
    <t>If footpaths are not kept clear</t>
  </si>
  <si>
    <t>Worry about crime/personal safety</t>
  </si>
  <si>
    <t>Cyclists, Scooters, Skateboarders on the footpath</t>
  </si>
  <si>
    <t>Roadworks</t>
  </si>
  <si>
    <t>Normal traffic even if travelling within the speed limit</t>
  </si>
  <si>
    <t>Other</t>
  </si>
  <si>
    <t>Always feel safe</t>
  </si>
  <si>
    <t>Do not walk by the road</t>
  </si>
  <si>
    <t>Base</t>
  </si>
  <si>
    <t>Source: Travel Survey for Northern Ireland, Department for Infrastructure</t>
  </si>
  <si>
    <t>* Users should note that percentages will not add to 100 as respondents could give multiple answers</t>
  </si>
  <si>
    <t>Estimate 
(% of respondents)</t>
  </si>
  <si>
    <t>95% Confidence Range +/-</t>
  </si>
  <si>
    <t>Key Performance Indicator 20 continued</t>
  </si>
  <si>
    <t>Reasons why respondents feel unsafe when cycling on the road, 2017-2019</t>
  </si>
  <si>
    <t>Motorists driving without consideration of cyclists</t>
  </si>
  <si>
    <t>If road condition is poor</t>
  </si>
  <si>
    <t>Buses or lorries</t>
  </si>
  <si>
    <t>Not enough cycle lanes</t>
  </si>
  <si>
    <t>Narrow roads</t>
  </si>
  <si>
    <t>Normal traffic even if travelling within speed limit</t>
  </si>
  <si>
    <t>If the roads are not well lit at night</t>
  </si>
  <si>
    <t>Cycle lanes not kept clear</t>
  </si>
  <si>
    <t>Do not cycle on the road</t>
  </si>
  <si>
    <t>Note: Error bar shows the 95% confidence range around the central estimate. See table 25a.</t>
  </si>
  <si>
    <t>#</t>
  </si>
  <si>
    <t>Percentage of motorcyclists KSIs responsible for own injuries (5 year rolling average), 2014-2024</t>
  </si>
  <si>
    <t>Key Performance Indicator 33</t>
  </si>
  <si>
    <t>DVA Enforcement Prosecutions and Penalties</t>
  </si>
  <si>
    <t>Number of Files referred to PPS</t>
  </si>
  <si>
    <t>Northern Ireland (2013/14-2024/25)</t>
  </si>
  <si>
    <t>Files Referred to PPS</t>
  </si>
  <si>
    <t>Convictions
Cases</t>
  </si>
  <si>
    <t>Convictions
Offences</t>
  </si>
  <si>
    <t>Value of Court Fines and Costs</t>
  </si>
  <si>
    <t>Fixed Penalites
Number</t>
  </si>
  <si>
    <t>Fixed Penalites
Value</t>
  </si>
  <si>
    <t>Total Value of Fines and Penalties</t>
  </si>
  <si>
    <t>2013/14</t>
  </si>
  <si>
    <t>2014/15</t>
  </si>
  <si>
    <t>2015/16</t>
  </si>
  <si>
    <t>2016/17</t>
  </si>
  <si>
    <t>2017/18</t>
  </si>
  <si>
    <t>2018/19</t>
  </si>
  <si>
    <t>2019/20</t>
  </si>
  <si>
    <t>2020/21</t>
  </si>
  <si>
    <t>2021/22</t>
  </si>
  <si>
    <t>2022/23</t>
  </si>
  <si>
    <t>2023/24</t>
  </si>
  <si>
    <t>2024/25</t>
  </si>
  <si>
    <t>2013/14
Baseline</t>
  </si>
  <si>
    <t>*Source: Driver &amp; Vehicle Agency Roadside Enforcement Database</t>
  </si>
  <si>
    <t>Key Performance Indicator 32</t>
  </si>
  <si>
    <t>Vehicle Test Pass Rates by Test Category - Full Tests</t>
  </si>
  <si>
    <t>Private Car</t>
  </si>
  <si>
    <t>Motorcycles</t>
  </si>
  <si>
    <t>Light Goods</t>
  </si>
  <si>
    <t>Heavy Goods</t>
  </si>
  <si>
    <t>Taxi</t>
  </si>
  <si>
    <t>*Source: Driver &amp; Vehicle Agency</t>
  </si>
  <si>
    <t>Number of KSI casualties resulting from collisions involving a novice driver 
(3 year rolling average), 2014-2024</t>
  </si>
  <si>
    <t>Number of KSI casualties resulting from collisions where a novice driver was deemed responsible 
(3 year rolling average), 2014-2024</t>
  </si>
  <si>
    <t>Key Performance Indicator 19</t>
  </si>
  <si>
    <t>Built-up roads
up to 40mph</t>
  </si>
  <si>
    <t>Dual
Carriageways</t>
  </si>
  <si>
    <t>Motorways</t>
  </si>
  <si>
    <t>Single Carriageways
above 40mph</t>
  </si>
  <si>
    <t>Built-up
roads
up to 40mph</t>
  </si>
  <si>
    <t>24 hour</t>
  </si>
  <si>
    <t>2014
Baseline</t>
  </si>
  <si>
    <t>11pm - 7am (free running)</t>
  </si>
  <si>
    <t>7am - 11pm</t>
  </si>
  <si>
    <r>
      <t xml:space="preserve">1 </t>
    </r>
    <r>
      <rPr>
        <sz val="9"/>
        <rFont val="Arial"/>
        <family val="2"/>
      </rPr>
      <t>Source: Transport NI, C2-Cloud Traffic Data</t>
    </r>
  </si>
  <si>
    <r>
      <t xml:space="preserve">2 </t>
    </r>
    <r>
      <rPr>
        <sz val="9"/>
        <rFont val="Arial"/>
        <family val="2"/>
      </rPr>
      <t>Source: Traffic and Travel Information Report, Department for Infrastructure</t>
    </r>
  </si>
  <si>
    <t>11pm - 7am free running</t>
  </si>
  <si>
    <t>Percentage of vehicles exceeding the speed limit (24 hour), 2014-2024</t>
  </si>
  <si>
    <t>Percentage of vehicles exceeding the speed limit (11pm - 7am), 2014-2024</t>
  </si>
  <si>
    <t>2024*</t>
  </si>
  <si>
    <t xml:space="preserve">* As with the years 2015, 2017, 2018, 2019, 2020, 2021, 2022  &amp; 2023 some counters in 2024 only had partial year's data. See User Guidance for further information. </t>
  </si>
  <si>
    <t>Data contained in this release provides the main source of information to assess the progress of the Road Safety Strategy to 2030 against agreed targets and KPIs.  
The Northern Ireland Road Safety Strategy to 2030 is available by following the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</si>
</sst>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7" x14ac:knownFonts="1">
    <font>
      <sz val="11"/>
      <color rgb="FF000000"/>
      <name val="Arial"/>
    </font>
    <font>
      <u/>
      <sz val="11"/>
      <color theme="10"/>
      <name val="Arial"/>
      <family val="2"/>
    </font>
    <font>
      <b/>
      <sz val="11"/>
      <color rgb="FFFFFFFF"/>
      <name val="Arial"/>
      <family val="2"/>
    </font>
    <font>
      <b/>
      <u/>
      <sz val="11"/>
      <color rgb="FF000000"/>
      <name val="Arial"/>
      <family val="2"/>
    </font>
    <font>
      <u/>
      <sz val="11"/>
      <color rgb="FF0000FF"/>
      <name val="Arial"/>
      <family val="2"/>
    </font>
    <font>
      <b/>
      <sz val="11"/>
      <color rgb="FF000000"/>
      <name val="Arial"/>
      <family val="2"/>
    </font>
    <font>
      <sz val="9"/>
      <color rgb="FF000000"/>
      <name val="Arial"/>
      <family val="2"/>
    </font>
    <font>
      <sz val="11"/>
      <color rgb="FF000000"/>
      <name val="Arial"/>
      <family val="2"/>
    </font>
    <font>
      <sz val="11"/>
      <color theme="1"/>
      <name val="Arial"/>
      <family val="2"/>
    </font>
    <font>
      <sz val="11"/>
      <color rgb="FFFF0000"/>
      <name val="Wingdings"/>
      <charset val="2"/>
    </font>
    <font>
      <sz val="11"/>
      <color rgb="FF00B050"/>
      <name val="Wingdings"/>
      <charset val="2"/>
    </font>
    <font>
      <sz val="28"/>
      <color rgb="FFFFC000"/>
      <name val="Wingdings 3"/>
      <family val="1"/>
      <charset val="2"/>
    </font>
    <font>
      <sz val="11"/>
      <color rgb="FF000000"/>
      <name val="Arial"/>
      <family val="2"/>
    </font>
    <font>
      <b/>
      <sz val="11"/>
      <color rgb="FFFFFFFF"/>
      <name val="Arial"/>
      <family val="2"/>
    </font>
    <font>
      <b/>
      <sz val="11"/>
      <name val="Arial"/>
      <family val="2"/>
    </font>
    <font>
      <sz val="11"/>
      <name val="Arial"/>
      <family val="2"/>
    </font>
    <font>
      <b/>
      <sz val="11"/>
      <color theme="1"/>
      <name val="Arial"/>
      <family val="2"/>
    </font>
    <font>
      <b/>
      <sz val="11"/>
      <color theme="0"/>
      <name val="Arial"/>
      <family val="2"/>
    </font>
    <font>
      <u/>
      <vertAlign val="superscript"/>
      <sz val="11"/>
      <name val="Arial"/>
      <family val="2"/>
    </font>
    <font>
      <sz val="8"/>
      <color theme="0"/>
      <name val="Arial"/>
      <family val="2"/>
    </font>
    <font>
      <vertAlign val="superscript"/>
      <sz val="11"/>
      <name val="Arial"/>
      <family val="2"/>
    </font>
    <font>
      <i/>
      <sz val="11"/>
      <name val="Arial"/>
      <family val="2"/>
    </font>
    <font>
      <vertAlign val="superscript"/>
      <sz val="9"/>
      <name val="Arial"/>
      <family val="2"/>
    </font>
    <font>
      <sz val="9"/>
      <name val="Arial"/>
      <family val="2"/>
    </font>
    <font>
      <sz val="9"/>
      <color theme="1"/>
      <name val="Arial"/>
      <family val="2"/>
    </font>
    <font>
      <i/>
      <sz val="9"/>
      <name val="Arial"/>
      <family val="2"/>
    </font>
    <font>
      <vertAlign val="superscript"/>
      <sz val="10"/>
      <name val="Arial"/>
      <family val="2"/>
    </font>
    <font>
      <u/>
      <sz val="12"/>
      <color rgb="FF0070C0"/>
      <name val="Arial"/>
      <family val="2"/>
    </font>
    <font>
      <u/>
      <sz val="11"/>
      <color theme="10"/>
      <name val="Arial"/>
      <family val="2"/>
    </font>
    <font>
      <u/>
      <sz val="11"/>
      <color indexed="12"/>
      <name val="Arial"/>
      <family val="2"/>
    </font>
    <font>
      <vertAlign val="superscript"/>
      <sz val="11"/>
      <color theme="0"/>
      <name val="Arial"/>
      <family val="2"/>
    </font>
    <font>
      <b/>
      <sz val="11"/>
      <color rgb="FF000000"/>
      <name val="Arial"/>
      <family val="2"/>
    </font>
    <font>
      <sz val="9"/>
      <color rgb="FF000000"/>
      <name val="Arial"/>
      <family val="2"/>
    </font>
    <font>
      <b/>
      <sz val="11"/>
      <color theme="0"/>
      <name val="Arial"/>
      <family val="2"/>
    </font>
    <font>
      <sz val="11"/>
      <color theme="1"/>
      <name val="Arial"/>
      <family val="2"/>
    </font>
    <font>
      <sz val="11"/>
      <color theme="0"/>
      <name val="Arial"/>
      <family val="2"/>
    </font>
    <font>
      <sz val="11"/>
      <color rgb="FFFFC000"/>
      <name val="Wingdings"/>
      <charset val="2"/>
    </font>
  </fonts>
  <fills count="11">
    <fill>
      <patternFill patternType="none"/>
    </fill>
    <fill>
      <patternFill patternType="gray125"/>
    </fill>
    <fill>
      <patternFill patternType="solid">
        <fgColor rgb="FF002060"/>
      </patternFill>
    </fill>
    <fill>
      <patternFill patternType="solid">
        <fgColor rgb="FFDCE6F1"/>
      </patternFill>
    </fill>
    <fill>
      <patternFill patternType="solid">
        <fgColor theme="4" tint="0.79998168889431442"/>
        <bgColor indexed="64"/>
      </patternFill>
    </fill>
    <fill>
      <patternFill patternType="solid">
        <fgColor theme="0"/>
        <bgColor indexed="64"/>
      </patternFill>
    </fill>
    <fill>
      <patternFill patternType="solid">
        <fgColor rgb="FFDCE6F1"/>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2060"/>
        <bgColor indexed="64"/>
      </patternFill>
    </fill>
    <fill>
      <patternFill patternType="solid">
        <fgColor theme="4" tint="0.59999389629810485"/>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right/>
      <top/>
      <bottom style="thick">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style="thin">
        <color theme="0"/>
      </right>
      <top style="thick">
        <color theme="0"/>
      </top>
      <bottom style="thick">
        <color theme="0"/>
      </bottom>
      <diagonal/>
    </border>
    <border>
      <left/>
      <right/>
      <top style="thick">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FFFFFF"/>
      </bottom>
      <diagonal/>
    </border>
    <border>
      <left/>
      <right/>
      <top/>
      <bottom style="thin">
        <color theme="0"/>
      </bottom>
      <diagonal/>
    </border>
    <border>
      <left style="thin">
        <color rgb="FFFFFFFF"/>
      </left>
      <right/>
      <top/>
      <bottom/>
      <diagonal/>
    </border>
    <border>
      <left/>
      <right style="thin">
        <color rgb="FFFFFFFF"/>
      </right>
      <top/>
      <bottom/>
      <diagonal/>
    </border>
    <border>
      <left/>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ck">
        <color theme="0"/>
      </bottom>
      <diagonal/>
    </border>
    <border>
      <left style="thin">
        <color theme="0"/>
      </left>
      <right/>
      <top style="thick">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style="thin">
        <color theme="0"/>
      </left>
      <right style="thin">
        <color theme="0"/>
      </right>
      <top style="thick">
        <color theme="0"/>
      </top>
      <bottom style="thin">
        <color theme="0"/>
      </bottom>
      <diagonal/>
    </border>
    <border>
      <left style="thin">
        <color rgb="FFFFFFFF"/>
      </left>
      <right style="thin">
        <color theme="0"/>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style="thick">
        <color theme="0"/>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theme="0"/>
      </left>
      <right/>
      <top/>
      <bottom style="medium">
        <color theme="0"/>
      </bottom>
      <diagonal/>
    </border>
    <border>
      <left style="thin">
        <color theme="0"/>
      </left>
      <right style="thin">
        <color theme="0"/>
      </right>
      <top/>
      <bottom/>
      <diagonal/>
    </border>
    <border>
      <left/>
      <right style="thin">
        <color theme="0"/>
      </right>
      <top style="thick">
        <color theme="0"/>
      </top>
      <bottom/>
      <diagonal/>
    </border>
    <border>
      <left style="thin">
        <color theme="0"/>
      </left>
      <right style="thin">
        <color theme="0"/>
      </right>
      <top style="thin">
        <color theme="0"/>
      </top>
      <bottom style="thick">
        <color theme="0"/>
      </bottom>
      <diagonal/>
    </border>
  </borders>
  <cellStyleXfs count="3">
    <xf numFmtId="0" fontId="0" fillId="0" borderId="0"/>
    <xf numFmtId="0" fontId="1" fillId="0" borderId="0" applyNumberFormat="0" applyFill="0" applyBorder="0" applyAlignment="0" applyProtection="0"/>
    <xf numFmtId="9" fontId="7" fillId="0" borderId="0" applyFont="0" applyFill="0" applyBorder="0" applyAlignment="0" applyProtection="0"/>
  </cellStyleXfs>
  <cellXfs count="265">
    <xf numFmtId="0" fontId="0" fillId="0" borderId="0" xfId="0"/>
    <xf numFmtId="0" fontId="1" fillId="0" borderId="0" xfId="0" applyFont="1"/>
    <xf numFmtId="0" fontId="2" fillId="2" borderId="0" xfId="0" applyFont="1" applyFill="1" applyAlignment="1">
      <alignment horizontal="left" wrapText="1"/>
    </xf>
    <xf numFmtId="0" fontId="3" fillId="0" borderId="0" xfId="0" applyFont="1"/>
    <xf numFmtId="0" fontId="0" fillId="3" borderId="0" xfId="0" applyFill="1"/>
    <xf numFmtId="0" fontId="4" fillId="3" borderId="0" xfId="0" applyFont="1" applyFill="1"/>
    <xf numFmtId="0" fontId="5" fillId="0" borderId="0" xfId="0" applyFont="1" applyAlignment="1">
      <alignment horizontal="left"/>
    </xf>
    <xf numFmtId="3" fontId="0" fillId="0" borderId="0" xfId="0" applyNumberFormat="1" applyAlignment="1">
      <alignment horizontal="center"/>
    </xf>
    <xf numFmtId="9" fontId="0" fillId="0" borderId="0" xfId="0" applyNumberFormat="1" applyAlignment="1">
      <alignment horizontal="center"/>
    </xf>
    <xf numFmtId="0" fontId="6" fillId="0" borderId="0" xfId="0" applyFont="1"/>
    <xf numFmtId="0" fontId="2" fillId="2" borderId="0" xfId="0" applyFont="1" applyFill="1" applyAlignment="1">
      <alignment horizontal="center" wrapText="1"/>
    </xf>
    <xf numFmtId="3" fontId="0" fillId="3" borderId="0" xfId="0" applyNumberFormat="1" applyFill="1" applyAlignment="1">
      <alignment horizontal="center"/>
    </xf>
    <xf numFmtId="9" fontId="0" fillId="3" borderId="0" xfId="0" applyNumberFormat="1" applyFill="1" applyAlignment="1">
      <alignment horizontal="center"/>
    </xf>
    <xf numFmtId="0" fontId="0" fillId="0" borderId="0" xfId="0" applyAlignment="1">
      <alignment horizontal="left"/>
    </xf>
    <xf numFmtId="0" fontId="2" fillId="2" borderId="1" xfId="0" applyFont="1" applyFill="1" applyBorder="1"/>
    <xf numFmtId="0" fontId="2" fillId="2" borderId="1" xfId="0" applyFont="1" applyFill="1" applyBorder="1" applyAlignment="1">
      <alignment horizontal="left" wrapText="1"/>
    </xf>
    <xf numFmtId="3" fontId="2" fillId="2" borderId="1" xfId="0" applyNumberFormat="1" applyFont="1" applyFill="1" applyBorder="1" applyAlignment="1">
      <alignment horizontal="center"/>
    </xf>
    <xf numFmtId="0" fontId="5" fillId="0" borderId="0" xfId="0" applyFont="1" applyAlignment="1">
      <alignment horizontal="left" wrapText="1"/>
    </xf>
    <xf numFmtId="0" fontId="2" fillId="2" borderId="2" xfId="0" applyFont="1" applyFill="1" applyBorder="1" applyAlignment="1">
      <alignment horizontal="center" wrapText="1"/>
    </xf>
    <xf numFmtId="0" fontId="2" fillId="2" borderId="0" xfId="0" applyFont="1" applyFill="1"/>
    <xf numFmtId="2" fontId="0" fillId="3" borderId="0" xfId="0" applyNumberFormat="1" applyFill="1" applyAlignment="1">
      <alignment horizontal="center"/>
    </xf>
    <xf numFmtId="2" fontId="0" fillId="0" borderId="0" xfId="0" applyNumberFormat="1" applyAlignment="1">
      <alignment horizontal="center"/>
    </xf>
    <xf numFmtId="0" fontId="6" fillId="0" borderId="0" xfId="0" applyFont="1" applyAlignment="1">
      <alignment wrapText="1"/>
    </xf>
    <xf numFmtId="2" fontId="2" fillId="2" borderId="1" xfId="0" applyNumberFormat="1" applyFont="1" applyFill="1" applyBorder="1" applyAlignment="1">
      <alignment horizontal="center"/>
    </xf>
    <xf numFmtId="9" fontId="2" fillId="2" borderId="1" xfId="0" applyNumberFormat="1" applyFont="1" applyFill="1" applyBorder="1" applyAlignment="1">
      <alignment horizontal="center"/>
    </xf>
    <xf numFmtId="0" fontId="0" fillId="0" borderId="0" xfId="0" applyAlignment="1">
      <alignment horizontal="left" wrapText="1"/>
    </xf>
    <xf numFmtId="2" fontId="9" fillId="0" borderId="0" xfId="0" applyNumberFormat="1" applyFont="1" applyAlignment="1">
      <alignment horizontal="center" vertical="center"/>
    </xf>
    <xf numFmtId="2" fontId="10" fillId="0" borderId="0" xfId="0" applyNumberFormat="1" applyFont="1" applyAlignment="1">
      <alignment horizontal="center" vertical="center"/>
    </xf>
    <xf numFmtId="2" fontId="10" fillId="4" borderId="0" xfId="0" applyNumberFormat="1" applyFont="1" applyFill="1" applyAlignment="1">
      <alignment horizontal="center" vertical="center"/>
    </xf>
    <xf numFmtId="2" fontId="9" fillId="4" borderId="0" xfId="0" applyNumberFormat="1" applyFont="1" applyFill="1" applyAlignment="1">
      <alignment horizontal="center" vertical="center"/>
    </xf>
    <xf numFmtId="0" fontId="11" fillId="4" borderId="0" xfId="0" applyFont="1" applyFill="1" applyAlignment="1">
      <alignment horizontal="center" vertical="center"/>
    </xf>
    <xf numFmtId="9" fontId="0" fillId="6" borderId="0" xfId="0" applyNumberFormat="1" applyFill="1" applyAlignment="1">
      <alignment horizontal="center"/>
    </xf>
    <xf numFmtId="0" fontId="11" fillId="6" borderId="0" xfId="0" applyFont="1" applyFill="1" applyAlignment="1">
      <alignment horizontal="center" vertical="center"/>
    </xf>
    <xf numFmtId="0" fontId="11" fillId="5" borderId="0" xfId="0" applyFont="1" applyFill="1" applyAlignment="1">
      <alignment horizontal="center" vertical="center"/>
    </xf>
    <xf numFmtId="2" fontId="9" fillId="5" borderId="0" xfId="0" applyNumberFormat="1" applyFont="1" applyFill="1" applyAlignment="1">
      <alignment horizontal="center" vertical="center"/>
    </xf>
    <xf numFmtId="9" fontId="12" fillId="0" borderId="0" xfId="0" applyNumberFormat="1" applyFont="1" applyAlignment="1">
      <alignment horizontal="center"/>
    </xf>
    <xf numFmtId="0" fontId="11" fillId="0" borderId="0" xfId="0" applyFont="1" applyAlignment="1">
      <alignment horizontal="center" vertical="center"/>
    </xf>
    <xf numFmtId="0" fontId="13" fillId="2" borderId="2" xfId="0" applyFont="1" applyFill="1" applyBorder="1" applyAlignment="1">
      <alignment horizontal="center" wrapText="1"/>
    </xf>
    <xf numFmtId="0" fontId="13" fillId="2" borderId="0" xfId="0" applyFont="1" applyFill="1"/>
    <xf numFmtId="0" fontId="8" fillId="0" borderId="0" xfId="0" applyFont="1"/>
    <xf numFmtId="0" fontId="14" fillId="0" borderId="0" xfId="0" applyFont="1"/>
    <xf numFmtId="0" fontId="15" fillId="0" borderId="0" xfId="0" applyFont="1"/>
    <xf numFmtId="9" fontId="8" fillId="0" borderId="0" xfId="2" applyFont="1" applyBorder="1"/>
    <xf numFmtId="0" fontId="16" fillId="0" borderId="0" xfId="0" applyFont="1" applyAlignment="1">
      <alignment horizontal="left" vertical="center" wrapText="1"/>
    </xf>
    <xf numFmtId="0" fontId="16" fillId="0" borderId="0" xfId="0" applyFont="1"/>
    <xf numFmtId="0" fontId="16" fillId="0" borderId="0" xfId="0" applyFont="1" applyAlignment="1">
      <alignment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9" fillId="0" borderId="0" xfId="0" applyFont="1"/>
    <xf numFmtId="0" fontId="8" fillId="7" borderId="10" xfId="0" applyFont="1" applyFill="1" applyBorder="1" applyAlignment="1">
      <alignment horizontal="center"/>
    </xf>
    <xf numFmtId="3" fontId="8" fillId="7" borderId="11" xfId="0" applyNumberFormat="1" applyFont="1" applyFill="1" applyBorder="1" applyAlignment="1">
      <alignment horizontal="center"/>
    </xf>
    <xf numFmtId="1" fontId="8" fillId="7" borderId="11" xfId="0" applyNumberFormat="1" applyFont="1" applyFill="1" applyBorder="1" applyAlignment="1">
      <alignment horizontal="center"/>
    </xf>
    <xf numFmtId="1" fontId="8" fillId="7" borderId="10" xfId="0" applyNumberFormat="1" applyFont="1" applyFill="1" applyBorder="1" applyAlignment="1">
      <alignment horizontal="center"/>
    </xf>
    <xf numFmtId="9" fontId="8" fillId="0" borderId="0" xfId="2" applyFont="1"/>
    <xf numFmtId="0" fontId="8" fillId="8" borderId="10" xfId="0" applyFont="1" applyFill="1" applyBorder="1" applyAlignment="1">
      <alignment horizontal="center"/>
    </xf>
    <xf numFmtId="3" fontId="8" fillId="8" borderId="11" xfId="0" applyNumberFormat="1" applyFont="1" applyFill="1" applyBorder="1" applyAlignment="1">
      <alignment horizontal="center"/>
    </xf>
    <xf numFmtId="1" fontId="8" fillId="8" borderId="11" xfId="0" applyNumberFormat="1" applyFont="1" applyFill="1" applyBorder="1" applyAlignment="1">
      <alignment horizontal="center"/>
    </xf>
    <xf numFmtId="1" fontId="8" fillId="8" borderId="10" xfId="0" applyNumberFormat="1" applyFont="1" applyFill="1" applyBorder="1" applyAlignment="1">
      <alignment horizontal="center"/>
    </xf>
    <xf numFmtId="1" fontId="8" fillId="8" borderId="12" xfId="0" applyNumberFormat="1" applyFont="1" applyFill="1" applyBorder="1" applyAlignment="1">
      <alignment horizontal="center"/>
    </xf>
    <xf numFmtId="2" fontId="8" fillId="0" borderId="0" xfId="2" applyNumberFormat="1" applyFont="1"/>
    <xf numFmtId="2" fontId="8" fillId="0" borderId="0" xfId="0" applyNumberFormat="1" applyFont="1"/>
    <xf numFmtId="1" fontId="13" fillId="2" borderId="1" xfId="0" applyNumberFormat="1" applyFont="1" applyFill="1" applyBorder="1" applyAlignment="1">
      <alignment horizontal="center"/>
    </xf>
    <xf numFmtId="0" fontId="16" fillId="0" borderId="0" xfId="0" applyFont="1" applyAlignment="1">
      <alignment horizontal="center" wrapText="1"/>
    </xf>
    <xf numFmtId="0" fontId="15" fillId="0" borderId="0" xfId="0" applyFont="1" applyAlignment="1">
      <alignment horizontal="center" vertical="top" wrapText="1"/>
    </xf>
    <xf numFmtId="0" fontId="21" fillId="0" borderId="0" xfId="0" applyFont="1" applyAlignment="1">
      <alignment horizontal="center" vertical="top" wrapText="1"/>
    </xf>
    <xf numFmtId="0" fontId="22" fillId="0" borderId="0" xfId="0" applyFont="1" applyAlignment="1">
      <alignment horizontal="left"/>
    </xf>
    <xf numFmtId="0" fontId="24" fillId="0" borderId="0" xfId="0" applyFont="1"/>
    <xf numFmtId="0" fontId="25" fillId="0" borderId="0" xfId="0" applyFont="1" applyAlignment="1">
      <alignment vertical="center" wrapText="1"/>
    </xf>
    <xf numFmtId="0" fontId="21" fillId="0" borderId="0" xfId="0" applyFont="1" applyAlignment="1">
      <alignment vertical="center" wrapText="1"/>
    </xf>
    <xf numFmtId="0" fontId="25" fillId="0" borderId="0" xfId="0" applyFont="1" applyAlignment="1">
      <alignment horizontal="left" vertical="center" wrapText="1"/>
    </xf>
    <xf numFmtId="9" fontId="25" fillId="0" borderId="0" xfId="2" applyFont="1" applyFill="1" applyBorder="1" applyAlignment="1">
      <alignment vertical="center" wrapText="1"/>
    </xf>
    <xf numFmtId="9" fontId="8" fillId="0" borderId="0" xfId="2" applyFont="1" applyFill="1" applyBorder="1"/>
    <xf numFmtId="0" fontId="27" fillId="0" borderId="0" xfId="0" applyFont="1"/>
    <xf numFmtId="0" fontId="29" fillId="0" borderId="0" xfId="1" applyFont="1" applyAlignment="1" applyProtection="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left" wrapText="1"/>
    </xf>
    <xf numFmtId="0" fontId="17" fillId="2" borderId="7" xfId="0" applyFont="1" applyFill="1" applyBorder="1" applyAlignment="1">
      <alignment horizontal="center" vertical="top" wrapText="1"/>
    </xf>
    <xf numFmtId="9" fontId="8" fillId="7" borderId="11" xfId="0" applyNumberFormat="1" applyFont="1" applyFill="1" applyBorder="1" applyAlignment="1">
      <alignment horizontal="center"/>
    </xf>
    <xf numFmtId="9" fontId="8" fillId="7" borderId="17" xfId="0" applyNumberFormat="1" applyFont="1" applyFill="1" applyBorder="1" applyAlignment="1">
      <alignment horizontal="center"/>
    </xf>
    <xf numFmtId="9" fontId="8" fillId="8" borderId="11" xfId="0" applyNumberFormat="1" applyFont="1" applyFill="1" applyBorder="1" applyAlignment="1">
      <alignment horizontal="center"/>
    </xf>
    <xf numFmtId="9" fontId="8" fillId="8" borderId="17" xfId="0" applyNumberFormat="1" applyFont="1" applyFill="1" applyBorder="1" applyAlignment="1">
      <alignment horizontal="center"/>
    </xf>
    <xf numFmtId="0" fontId="14" fillId="0" borderId="0" xfId="0" applyFont="1" applyAlignment="1">
      <alignment horizontal="left" wrapText="1"/>
    </xf>
    <xf numFmtId="0" fontId="17" fillId="2" borderId="0" xfId="0" applyFont="1" applyFill="1" applyAlignment="1">
      <alignment horizontal="center" wrapText="1"/>
    </xf>
    <xf numFmtId="1" fontId="8" fillId="7" borderId="23" xfId="0" applyNumberFormat="1" applyFont="1" applyFill="1" applyBorder="1" applyAlignment="1">
      <alignment horizontal="center"/>
    </xf>
    <xf numFmtId="1" fontId="13" fillId="2" borderId="24" xfId="0" applyNumberFormat="1" applyFont="1" applyFill="1" applyBorder="1" applyAlignment="1">
      <alignment horizontal="center"/>
    </xf>
    <xf numFmtId="1" fontId="13" fillId="2" borderId="25" xfId="0" applyNumberFormat="1" applyFont="1" applyFill="1" applyBorder="1" applyAlignment="1">
      <alignment horizontal="center"/>
    </xf>
    <xf numFmtId="0" fontId="17" fillId="9" borderId="26" xfId="0" applyFont="1" applyFill="1" applyBorder="1"/>
    <xf numFmtId="0" fontId="17" fillId="9" borderId="28" xfId="0" applyFont="1" applyFill="1" applyBorder="1" applyAlignment="1">
      <alignment horizontal="center" vertical="center" wrapText="1"/>
    </xf>
    <xf numFmtId="0" fontId="17" fillId="9" borderId="11" xfId="0" applyFont="1" applyFill="1" applyBorder="1" applyAlignment="1">
      <alignment horizontal="center"/>
    </xf>
    <xf numFmtId="0" fontId="0" fillId="10" borderId="11" xfId="0" applyFill="1" applyBorder="1" applyAlignment="1">
      <alignment vertical="center" wrapText="1"/>
    </xf>
    <xf numFmtId="9" fontId="0" fillId="10" borderId="11" xfId="2" applyFont="1" applyFill="1" applyBorder="1" applyAlignment="1">
      <alignment horizontal="center" vertical="center"/>
    </xf>
    <xf numFmtId="0" fontId="0" fillId="4" borderId="11" xfId="0" applyFill="1" applyBorder="1" applyAlignment="1">
      <alignment vertical="center" wrapText="1"/>
    </xf>
    <xf numFmtId="9" fontId="0" fillId="4" borderId="11" xfId="2" applyFont="1" applyFill="1" applyBorder="1" applyAlignment="1">
      <alignment horizontal="center" vertical="center"/>
    </xf>
    <xf numFmtId="0" fontId="17" fillId="9" borderId="11" xfId="0" applyFont="1" applyFill="1" applyBorder="1" applyAlignment="1">
      <alignment vertical="center"/>
    </xf>
    <xf numFmtId="0" fontId="17" fillId="9" borderId="11" xfId="0" applyFont="1" applyFill="1" applyBorder="1" applyAlignment="1">
      <alignment horizontal="center" vertical="center"/>
    </xf>
    <xf numFmtId="0" fontId="32" fillId="0" borderId="0" xfId="0" applyFont="1"/>
    <xf numFmtId="0" fontId="31" fillId="0" borderId="0" xfId="0" applyFont="1"/>
    <xf numFmtId="0" fontId="17" fillId="9" borderId="28" xfId="0" applyFont="1" applyFill="1" applyBorder="1"/>
    <xf numFmtId="0" fontId="17" fillId="9" borderId="11" xfId="0" applyFont="1" applyFill="1" applyBorder="1" applyAlignment="1">
      <alignment horizontal="center" vertical="center" wrapText="1"/>
    </xf>
    <xf numFmtId="9" fontId="0" fillId="10" borderId="11" xfId="2" applyFont="1" applyFill="1" applyBorder="1" applyAlignment="1">
      <alignment horizontal="center" vertical="center" wrapText="1"/>
    </xf>
    <xf numFmtId="9" fontId="0" fillId="4" borderId="11" xfId="2" applyFont="1" applyFill="1" applyBorder="1" applyAlignment="1">
      <alignment horizontal="center" vertical="center" wrapText="1"/>
    </xf>
    <xf numFmtId="0" fontId="17" fillId="9" borderId="11" xfId="0" applyFont="1" applyFill="1" applyBorder="1" applyAlignment="1">
      <alignment vertical="center" wrapText="1"/>
    </xf>
    <xf numFmtId="1" fontId="17" fillId="9" borderId="11" xfId="2" applyNumberFormat="1" applyFont="1" applyFill="1" applyBorder="1" applyAlignment="1">
      <alignment horizontal="center" vertical="center"/>
    </xf>
    <xf numFmtId="0" fontId="17" fillId="5" borderId="11" xfId="0" applyFont="1" applyFill="1" applyBorder="1" applyAlignment="1">
      <alignment vertical="center"/>
    </xf>
    <xf numFmtId="0" fontId="17" fillId="5" borderId="11" xfId="0" applyFont="1" applyFill="1" applyBorder="1" applyAlignment="1">
      <alignment horizontal="center" vertical="center"/>
    </xf>
    <xf numFmtId="0" fontId="0" fillId="9" borderId="26" xfId="0" applyFill="1" applyBorder="1"/>
    <xf numFmtId="0" fontId="0" fillId="9" borderId="28" xfId="0" applyFill="1" applyBorder="1"/>
    <xf numFmtId="9" fontId="0" fillId="0" borderId="0" xfId="2" applyFont="1"/>
    <xf numFmtId="0" fontId="33" fillId="2" borderId="0" xfId="0" applyFont="1" applyFill="1" applyAlignment="1">
      <alignment horizontal="center" wrapText="1"/>
    </xf>
    <xf numFmtId="0" fontId="33" fillId="2" borderId="30" xfId="0" applyFont="1" applyFill="1" applyBorder="1" applyAlignment="1">
      <alignment horizontal="center" wrapText="1"/>
    </xf>
    <xf numFmtId="0" fontId="34" fillId="7" borderId="9" xfId="0" applyFont="1" applyFill="1" applyBorder="1" applyAlignment="1">
      <alignment horizontal="left"/>
    </xf>
    <xf numFmtId="3" fontId="34" fillId="7" borderId="31" xfId="0" applyNumberFormat="1" applyFont="1" applyFill="1" applyBorder="1" applyAlignment="1">
      <alignment horizontal="center"/>
    </xf>
    <xf numFmtId="0" fontId="34" fillId="8" borderId="16" xfId="0" applyFont="1" applyFill="1" applyBorder="1" applyAlignment="1">
      <alignment horizontal="left"/>
    </xf>
    <xf numFmtId="3" fontId="34" fillId="8" borderId="29" xfId="0" applyNumberFormat="1" applyFont="1" applyFill="1" applyBorder="1" applyAlignment="1">
      <alignment horizontal="center"/>
    </xf>
    <xf numFmtId="0" fontId="34" fillId="7" borderId="16" xfId="0" applyFont="1" applyFill="1" applyBorder="1" applyAlignment="1">
      <alignment horizontal="left"/>
    </xf>
    <xf numFmtId="3" fontId="34" fillId="7" borderId="29" xfId="0" applyNumberFormat="1" applyFont="1" applyFill="1" applyBorder="1" applyAlignment="1">
      <alignment horizontal="center"/>
    </xf>
    <xf numFmtId="9" fontId="34" fillId="7" borderId="31" xfId="0" applyNumberFormat="1" applyFont="1" applyFill="1" applyBorder="1" applyAlignment="1">
      <alignment horizontal="center"/>
    </xf>
    <xf numFmtId="9" fontId="34" fillId="8" borderId="29" xfId="0" applyNumberFormat="1" applyFont="1" applyFill="1" applyBorder="1" applyAlignment="1">
      <alignment horizontal="center"/>
    </xf>
    <xf numFmtId="9" fontId="34" fillId="7" borderId="29" xfId="0" applyNumberFormat="1" applyFont="1" applyFill="1" applyBorder="1" applyAlignment="1">
      <alignment horizontal="center"/>
    </xf>
    <xf numFmtId="0" fontId="2" fillId="2" borderId="32" xfId="0" applyFont="1" applyFill="1" applyBorder="1" applyAlignment="1">
      <alignment horizontal="left" wrapText="1"/>
    </xf>
    <xf numFmtId="3" fontId="2" fillId="2" borderId="32" xfId="0" applyNumberFormat="1" applyFont="1" applyFill="1" applyBorder="1" applyAlignment="1">
      <alignment horizontal="center"/>
    </xf>
    <xf numFmtId="0" fontId="2" fillId="2" borderId="32" xfId="0" applyFont="1" applyFill="1" applyBorder="1"/>
    <xf numFmtId="0" fontId="34" fillId="7" borderId="9" xfId="0" applyFont="1" applyFill="1" applyBorder="1"/>
    <xf numFmtId="0" fontId="34" fillId="8" borderId="16" xfId="0" applyFont="1" applyFill="1" applyBorder="1"/>
    <xf numFmtId="0" fontId="34" fillId="7" borderId="16" xfId="0" applyFont="1" applyFill="1" applyBorder="1"/>
    <xf numFmtId="2" fontId="34" fillId="7" borderId="31" xfId="0" applyNumberFormat="1" applyFont="1" applyFill="1" applyBorder="1" applyAlignment="1">
      <alignment horizontal="center"/>
    </xf>
    <xf numFmtId="2" fontId="34" fillId="8" borderId="29" xfId="0" applyNumberFormat="1" applyFont="1" applyFill="1" applyBorder="1" applyAlignment="1">
      <alignment horizontal="center"/>
    </xf>
    <xf numFmtId="2" fontId="34" fillId="7" borderId="29" xfId="0" applyNumberFormat="1" applyFont="1" applyFill="1" applyBorder="1" applyAlignment="1">
      <alignment horizontal="center"/>
    </xf>
    <xf numFmtId="2" fontId="2" fillId="2" borderId="32" xfId="0" applyNumberFormat="1" applyFont="1" applyFill="1" applyBorder="1" applyAlignment="1">
      <alignment horizontal="center"/>
    </xf>
    <xf numFmtId="9" fontId="2" fillId="2" borderId="32" xfId="0" applyNumberFormat="1" applyFont="1" applyFill="1" applyBorder="1" applyAlignment="1">
      <alignment horizontal="center"/>
    </xf>
    <xf numFmtId="0" fontId="2" fillId="2" borderId="32" xfId="0" applyFont="1" applyFill="1" applyBorder="1" applyAlignment="1">
      <alignment wrapText="1"/>
    </xf>
    <xf numFmtId="0" fontId="17" fillId="2" borderId="30" xfId="0" applyFont="1" applyFill="1" applyBorder="1" applyAlignment="1">
      <alignment horizontal="center" wrapText="1"/>
    </xf>
    <xf numFmtId="0" fontId="8" fillId="7" borderId="9" xfId="0" applyFont="1" applyFill="1" applyBorder="1" applyAlignment="1">
      <alignment horizontal="left"/>
    </xf>
    <xf numFmtId="3" fontId="8" fillId="7" borderId="31" xfId="0" applyNumberFormat="1" applyFont="1" applyFill="1" applyBorder="1" applyAlignment="1">
      <alignment horizontal="center"/>
    </xf>
    <xf numFmtId="0" fontId="8" fillId="8" borderId="16" xfId="0" applyFont="1" applyFill="1" applyBorder="1" applyAlignment="1">
      <alignment horizontal="left"/>
    </xf>
    <xf numFmtId="3" fontId="8" fillId="8" borderId="29" xfId="0" applyNumberFormat="1" applyFont="1" applyFill="1" applyBorder="1" applyAlignment="1">
      <alignment horizontal="center"/>
    </xf>
    <xf numFmtId="0" fontId="8" fillId="7" borderId="16" xfId="0" applyFont="1" applyFill="1" applyBorder="1" applyAlignment="1">
      <alignment horizontal="left"/>
    </xf>
    <xf numFmtId="3" fontId="8" fillId="7" borderId="29" xfId="0" applyNumberFormat="1" applyFont="1" applyFill="1" applyBorder="1" applyAlignment="1">
      <alignment horizontal="center"/>
    </xf>
    <xf numFmtId="0" fontId="13" fillId="2" borderId="32" xfId="0" applyFont="1" applyFill="1" applyBorder="1" applyAlignment="1">
      <alignment horizontal="left" wrapText="1"/>
    </xf>
    <xf numFmtId="3" fontId="13" fillId="2" borderId="32" xfId="0" applyNumberFormat="1" applyFont="1" applyFill="1" applyBorder="1" applyAlignment="1">
      <alignment horizontal="center"/>
    </xf>
    <xf numFmtId="3" fontId="13" fillId="2" borderId="1" xfId="0" applyNumberFormat="1" applyFont="1" applyFill="1" applyBorder="1" applyAlignment="1">
      <alignment horizontal="center"/>
    </xf>
    <xf numFmtId="0" fontId="8" fillId="7" borderId="9" xfId="0" applyFont="1" applyFill="1" applyBorder="1"/>
    <xf numFmtId="0" fontId="8" fillId="8" borderId="16" xfId="0" applyFont="1" applyFill="1" applyBorder="1"/>
    <xf numFmtId="0" fontId="8" fillId="7" borderId="16" xfId="0" applyFont="1" applyFill="1" applyBorder="1"/>
    <xf numFmtId="9" fontId="8" fillId="7" borderId="31" xfId="0" applyNumberFormat="1" applyFont="1" applyFill="1" applyBorder="1" applyAlignment="1">
      <alignment horizontal="center"/>
    </xf>
    <xf numFmtId="9" fontId="8" fillId="8" borderId="29" xfId="0" applyNumberFormat="1" applyFont="1" applyFill="1" applyBorder="1" applyAlignment="1">
      <alignment horizontal="center"/>
    </xf>
    <xf numFmtId="9" fontId="8" fillId="7" borderId="29" xfId="0" applyNumberFormat="1" applyFont="1" applyFill="1" applyBorder="1" applyAlignment="1">
      <alignment horizontal="center"/>
    </xf>
    <xf numFmtId="0" fontId="13" fillId="2" borderId="32" xfId="0" applyFont="1" applyFill="1" applyBorder="1"/>
    <xf numFmtId="0" fontId="13" fillId="2" borderId="1" xfId="0" applyFont="1" applyFill="1" applyBorder="1"/>
    <xf numFmtId="9" fontId="13" fillId="2" borderId="1" xfId="0" applyNumberFormat="1" applyFont="1" applyFill="1" applyBorder="1" applyAlignment="1">
      <alignment horizontal="center"/>
    </xf>
    <xf numFmtId="0" fontId="13" fillId="2" borderId="33" xfId="0" applyFont="1" applyFill="1" applyBorder="1" applyAlignment="1">
      <alignment horizontal="left" wrapText="1"/>
    </xf>
    <xf numFmtId="3" fontId="13" fillId="2" borderId="33" xfId="0" applyNumberFormat="1" applyFont="1" applyFill="1" applyBorder="1" applyAlignment="1">
      <alignment horizontal="center"/>
    </xf>
    <xf numFmtId="3" fontId="13" fillId="2" borderId="4" xfId="0" applyNumberFormat="1" applyFont="1" applyFill="1" applyBorder="1" applyAlignment="1">
      <alignment horizontal="center"/>
    </xf>
    <xf numFmtId="0" fontId="0" fillId="3" borderId="0" xfId="0" applyFill="1" applyAlignment="1">
      <alignment wrapText="1"/>
    </xf>
    <xf numFmtId="0" fontId="0" fillId="0" borderId="0" xfId="0" applyAlignment="1">
      <alignment wrapText="1"/>
    </xf>
    <xf numFmtId="0" fontId="31" fillId="5" borderId="0" xfId="0" applyFont="1" applyFill="1" applyAlignment="1">
      <alignment horizontal="left"/>
    </xf>
    <xf numFmtId="0" fontId="0" fillId="5" borderId="0" xfId="0" applyFill="1"/>
    <xf numFmtId="0" fontId="8" fillId="5" borderId="0" xfId="0" applyFont="1" applyFill="1"/>
    <xf numFmtId="0" fontId="12" fillId="5" borderId="0" xfId="0" applyFont="1" applyFill="1"/>
    <xf numFmtId="0" fontId="17" fillId="2" borderId="34" xfId="0" applyFont="1" applyFill="1" applyBorder="1" applyAlignment="1">
      <alignment horizontal="center" wrapText="1"/>
    </xf>
    <xf numFmtId="0" fontId="8" fillId="7" borderId="35" xfId="0" applyFont="1" applyFill="1" applyBorder="1" applyAlignment="1">
      <alignment horizontal="left"/>
    </xf>
    <xf numFmtId="1" fontId="8" fillId="7" borderId="35" xfId="2" applyNumberFormat="1" applyFont="1" applyFill="1" applyBorder="1" applyAlignment="1">
      <alignment horizontal="center"/>
    </xf>
    <xf numFmtId="3" fontId="8" fillId="7" borderId="35" xfId="2" applyNumberFormat="1" applyFont="1" applyFill="1" applyBorder="1" applyAlignment="1">
      <alignment horizontal="center"/>
    </xf>
    <xf numFmtId="164" fontId="8" fillId="7" borderId="35" xfId="0" applyNumberFormat="1" applyFont="1" applyFill="1" applyBorder="1" applyAlignment="1">
      <alignment horizontal="center"/>
    </xf>
    <xf numFmtId="164" fontId="8" fillId="7" borderId="35" xfId="2" applyNumberFormat="1" applyFont="1" applyFill="1" applyBorder="1" applyAlignment="1">
      <alignment horizontal="center"/>
    </xf>
    <xf numFmtId="0" fontId="8" fillId="8" borderId="28" xfId="0" applyFont="1" applyFill="1" applyBorder="1" applyAlignment="1">
      <alignment horizontal="left"/>
    </xf>
    <xf numFmtId="1" fontId="8" fillId="8" borderId="28" xfId="2" applyNumberFormat="1" applyFont="1" applyFill="1" applyBorder="1" applyAlignment="1">
      <alignment horizontal="center"/>
    </xf>
    <xf numFmtId="3" fontId="8" fillId="8" borderId="28" xfId="2" applyNumberFormat="1" applyFont="1" applyFill="1" applyBorder="1" applyAlignment="1">
      <alignment horizontal="center"/>
    </xf>
    <xf numFmtId="164" fontId="8" fillId="8" borderId="28" xfId="0" applyNumberFormat="1" applyFont="1" applyFill="1" applyBorder="1" applyAlignment="1">
      <alignment horizontal="center"/>
    </xf>
    <xf numFmtId="164" fontId="8" fillId="8" borderId="28" xfId="2" applyNumberFormat="1" applyFont="1" applyFill="1" applyBorder="1" applyAlignment="1">
      <alignment horizontal="center"/>
    </xf>
    <xf numFmtId="0" fontId="8" fillId="7" borderId="11" xfId="0" applyFont="1" applyFill="1" applyBorder="1" applyAlignment="1">
      <alignment horizontal="left"/>
    </xf>
    <xf numFmtId="1" fontId="8" fillId="7" borderId="11" xfId="2" applyNumberFormat="1" applyFont="1" applyFill="1" applyBorder="1" applyAlignment="1">
      <alignment horizontal="center"/>
    </xf>
    <xf numFmtId="3" fontId="8" fillId="7" borderId="11" xfId="2" applyNumberFormat="1" applyFont="1" applyFill="1" applyBorder="1" applyAlignment="1">
      <alignment horizontal="center"/>
    </xf>
    <xf numFmtId="164" fontId="8" fillId="7" borderId="11" xfId="0" applyNumberFormat="1" applyFont="1" applyFill="1" applyBorder="1" applyAlignment="1">
      <alignment horizontal="center"/>
    </xf>
    <xf numFmtId="164" fontId="8" fillId="7" borderId="11" xfId="2" applyNumberFormat="1" applyFont="1" applyFill="1" applyBorder="1" applyAlignment="1">
      <alignment horizontal="center"/>
    </xf>
    <xf numFmtId="0" fontId="8" fillId="8" borderId="11" xfId="0" applyFont="1" applyFill="1" applyBorder="1" applyAlignment="1">
      <alignment horizontal="left"/>
    </xf>
    <xf numFmtId="1" fontId="8" fillId="8" borderId="11" xfId="2" applyNumberFormat="1" applyFont="1" applyFill="1" applyBorder="1" applyAlignment="1">
      <alignment horizontal="center"/>
    </xf>
    <xf numFmtId="3" fontId="8" fillId="8" borderId="11" xfId="2" applyNumberFormat="1" applyFont="1" applyFill="1" applyBorder="1" applyAlignment="1">
      <alignment horizontal="center"/>
    </xf>
    <xf numFmtId="164" fontId="8" fillId="8" borderId="11" xfId="0" applyNumberFormat="1" applyFont="1" applyFill="1" applyBorder="1" applyAlignment="1">
      <alignment horizontal="center"/>
    </xf>
    <xf numFmtId="164" fontId="8" fillId="8" borderId="11" xfId="2" applyNumberFormat="1" applyFont="1" applyFill="1" applyBorder="1" applyAlignment="1">
      <alignment horizontal="center"/>
    </xf>
    <xf numFmtId="0" fontId="17" fillId="9" borderId="26" xfId="0" applyFont="1" applyFill="1" applyBorder="1" applyAlignment="1">
      <alignment horizontal="center" wrapText="1"/>
    </xf>
    <xf numFmtId="1" fontId="17" fillId="9" borderId="26" xfId="0" applyNumberFormat="1" applyFont="1" applyFill="1" applyBorder="1" applyAlignment="1">
      <alignment horizontal="center"/>
    </xf>
    <xf numFmtId="3" fontId="17" fillId="9" borderId="26" xfId="0" applyNumberFormat="1" applyFont="1" applyFill="1" applyBorder="1" applyAlignment="1">
      <alignment horizontal="center"/>
    </xf>
    <xf numFmtId="164" fontId="17" fillId="9" borderId="26" xfId="0" applyNumberFormat="1" applyFont="1" applyFill="1" applyBorder="1" applyAlignment="1">
      <alignment horizontal="center"/>
    </xf>
    <xf numFmtId="0" fontId="28" fillId="0" borderId="0" xfId="0" applyFont="1"/>
    <xf numFmtId="9" fontId="8" fillId="7" borderId="35" xfId="2" applyFont="1" applyFill="1" applyBorder="1" applyAlignment="1">
      <alignment horizontal="center"/>
    </xf>
    <xf numFmtId="9" fontId="8" fillId="8" borderId="28" xfId="2" applyFont="1" applyFill="1" applyBorder="1" applyAlignment="1">
      <alignment horizontal="center"/>
    </xf>
    <xf numFmtId="9" fontId="8" fillId="7" borderId="11" xfId="2" applyFont="1" applyFill="1" applyBorder="1" applyAlignment="1">
      <alignment horizontal="center"/>
    </xf>
    <xf numFmtId="9" fontId="8" fillId="8" borderId="11" xfId="2" applyFont="1" applyFill="1" applyBorder="1" applyAlignment="1">
      <alignment horizontal="center"/>
    </xf>
    <xf numFmtId="0" fontId="17" fillId="9" borderId="0" xfId="0" applyFont="1" applyFill="1" applyAlignment="1">
      <alignment horizontal="center" wrapText="1"/>
    </xf>
    <xf numFmtId="9" fontId="17" fillId="9" borderId="0" xfId="0" applyNumberFormat="1" applyFont="1" applyFill="1" applyAlignment="1">
      <alignment horizontal="center"/>
    </xf>
    <xf numFmtId="9" fontId="8" fillId="5" borderId="0" xfId="2" applyFont="1" applyFill="1"/>
    <xf numFmtId="0" fontId="17" fillId="2" borderId="6"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top"/>
    </xf>
    <xf numFmtId="0" fontId="17" fillId="2" borderId="7" xfId="0" applyFont="1" applyFill="1" applyBorder="1" applyAlignment="1">
      <alignment horizontal="center" vertical="center" wrapText="1"/>
    </xf>
    <xf numFmtId="0" fontId="35" fillId="0" borderId="0" xfId="0" applyFont="1" applyAlignment="1">
      <alignment horizontal="center"/>
    </xf>
    <xf numFmtId="9" fontId="8" fillId="7" borderId="10" xfId="0" applyNumberFormat="1" applyFont="1" applyFill="1" applyBorder="1" applyAlignment="1">
      <alignment horizontal="center"/>
    </xf>
    <xf numFmtId="9" fontId="8" fillId="8" borderId="10" xfId="0" applyNumberFormat="1" applyFont="1" applyFill="1" applyBorder="1" applyAlignment="1">
      <alignment horizontal="center"/>
    </xf>
    <xf numFmtId="9" fontId="17" fillId="2" borderId="6" xfId="0" applyNumberFormat="1" applyFont="1" applyFill="1" applyBorder="1" applyAlignment="1">
      <alignment horizontal="center" vertical="center" wrapText="1"/>
    </xf>
    <xf numFmtId="9" fontId="8" fillId="0" borderId="0" xfId="0" applyNumberFormat="1" applyFont="1"/>
    <xf numFmtId="0" fontId="15" fillId="5" borderId="0" xfId="0" applyFont="1" applyFill="1" applyAlignment="1">
      <alignment horizontal="center" wrapText="1"/>
    </xf>
    <xf numFmtId="9" fontId="15" fillId="5" borderId="0" xfId="2" applyFont="1" applyFill="1" applyBorder="1" applyAlignment="1">
      <alignment horizontal="center" vertical="center"/>
    </xf>
    <xf numFmtId="0" fontId="22" fillId="5" borderId="0" xfId="0" applyFont="1" applyFill="1" applyAlignment="1">
      <alignment horizontal="left" wrapText="1"/>
    </xf>
    <xf numFmtId="0" fontId="8" fillId="0" borderId="0" xfId="0" applyFont="1" applyAlignment="1">
      <alignment horizontal="center"/>
    </xf>
    <xf numFmtId="0" fontId="8" fillId="0" borderId="0" xfId="0" applyFont="1" applyAlignment="1">
      <alignment horizontal="left"/>
    </xf>
    <xf numFmtId="0" fontId="14" fillId="0" borderId="0" xfId="0" applyFont="1" applyAlignment="1">
      <alignment vertical="center" wrapText="1"/>
    </xf>
    <xf numFmtId="9" fontId="15" fillId="0" borderId="0" xfId="2" applyFont="1" applyFill="1" applyBorder="1" applyAlignment="1">
      <alignment horizontal="center"/>
    </xf>
    <xf numFmtId="0" fontId="15" fillId="0" borderId="0" xfId="0" applyFont="1" applyAlignment="1">
      <alignment horizontal="center" wrapText="1"/>
    </xf>
    <xf numFmtId="9" fontId="15" fillId="0" borderId="0" xfId="2" applyFont="1" applyFill="1" applyBorder="1" applyAlignment="1">
      <alignment horizontal="center" vertical="center"/>
    </xf>
    <xf numFmtId="1" fontId="15" fillId="0" borderId="0" xfId="0" applyNumberFormat="1" applyFont="1" applyAlignment="1">
      <alignment horizontal="center" vertical="center"/>
    </xf>
    <xf numFmtId="9" fontId="17" fillId="2" borderId="37"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5" fillId="0" borderId="0" xfId="2" applyNumberFormat="1" applyFont="1" applyFill="1" applyBorder="1" applyAlignment="1">
      <alignment horizontal="center"/>
    </xf>
    <xf numFmtId="1" fontId="8" fillId="0" borderId="0" xfId="0" applyNumberFormat="1" applyFont="1"/>
    <xf numFmtId="0" fontId="17" fillId="2" borderId="37" xfId="0" applyFont="1" applyFill="1" applyBorder="1" applyAlignment="1">
      <alignment horizontal="center" vertical="center" wrapText="1"/>
    </xf>
    <xf numFmtId="0" fontId="1" fillId="0" borderId="0" xfId="1"/>
    <xf numFmtId="2" fontId="36" fillId="0" borderId="0" xfId="0" applyNumberFormat="1" applyFont="1" applyAlignment="1">
      <alignment horizontal="center" vertical="center"/>
    </xf>
    <xf numFmtId="2" fontId="36" fillId="4" borderId="0" xfId="0" applyNumberFormat="1" applyFont="1" applyFill="1" applyAlignment="1">
      <alignment horizontal="center" vertical="center"/>
    </xf>
    <xf numFmtId="0" fontId="2" fillId="2" borderId="0" xfId="0" applyFont="1" applyFill="1" applyAlignment="1">
      <alignment horizontal="center" wrapText="1"/>
    </xf>
    <xf numFmtId="0" fontId="5" fillId="0" borderId="0" xfId="0" applyFont="1" applyAlignment="1">
      <alignment horizontal="left" wrapText="1"/>
    </xf>
    <xf numFmtId="0" fontId="0" fillId="0" borderId="0" xfId="0"/>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13" fillId="2" borderId="2" xfId="0" applyFont="1" applyFill="1" applyBorder="1" applyAlignment="1">
      <alignment horizontal="center" wrapText="1"/>
    </xf>
    <xf numFmtId="3" fontId="0" fillId="0" borderId="0" xfId="0" applyNumberFormat="1" applyAlignment="1">
      <alignment horizontal="center"/>
    </xf>
    <xf numFmtId="2" fontId="0" fillId="0" borderId="0" xfId="0" applyNumberFormat="1" applyAlignment="1">
      <alignment horizontal="center"/>
    </xf>
    <xf numFmtId="9" fontId="0" fillId="0" borderId="0" xfId="0" applyNumberFormat="1" applyAlignment="1">
      <alignment horizontal="center"/>
    </xf>
    <xf numFmtId="0" fontId="6" fillId="0" borderId="0" xfId="0" applyFont="1" applyAlignment="1">
      <alignment wrapText="1"/>
    </xf>
    <xf numFmtId="0" fontId="23" fillId="0" borderId="0" xfId="0" applyFont="1" applyAlignment="1">
      <alignment horizontal="left" wrapText="1"/>
    </xf>
    <xf numFmtId="0" fontId="25" fillId="0" borderId="0" xfId="0" applyFont="1" applyAlignment="1">
      <alignment horizontal="left"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3"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3" fillId="2" borderId="14" xfId="0" applyFont="1" applyFill="1" applyBorder="1" applyAlignment="1">
      <alignment horizontal="center" wrapText="1"/>
    </xf>
    <xf numFmtId="0" fontId="13" fillId="2" borderId="15" xfId="0" applyFont="1" applyFill="1" applyBorder="1" applyAlignment="1">
      <alignment horizontal="center" wrapText="1"/>
    </xf>
    <xf numFmtId="0" fontId="14" fillId="0" borderId="0" xfId="0" applyFont="1" applyAlignment="1">
      <alignment horizontal="left" wrapText="1"/>
    </xf>
    <xf numFmtId="0" fontId="17" fillId="2" borderId="0" xfId="0" applyFont="1" applyFill="1" applyAlignment="1">
      <alignment horizontal="center" wrapText="1"/>
    </xf>
    <xf numFmtId="0" fontId="17" fillId="2" borderId="18" xfId="0" applyFont="1" applyFill="1" applyBorder="1" applyAlignment="1">
      <alignment horizontal="center" wrapText="1"/>
    </xf>
    <xf numFmtId="0" fontId="17" fillId="2" borderId="5" xfId="0" applyFont="1" applyFill="1" applyBorder="1" applyAlignment="1">
      <alignment horizontal="center" wrapText="1"/>
    </xf>
    <xf numFmtId="0" fontId="17" fillId="2" borderId="6" xfId="0" applyFont="1" applyFill="1" applyBorder="1" applyAlignment="1">
      <alignment horizontal="center" wrapText="1"/>
    </xf>
    <xf numFmtId="0" fontId="17" fillId="2" borderId="19"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8" fillId="7" borderId="36"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16" fillId="0" borderId="0" xfId="0" applyFont="1" applyAlignment="1">
      <alignment horizontal="center"/>
    </xf>
    <xf numFmtId="0" fontId="23" fillId="5" borderId="0" xfId="0" applyFont="1" applyFill="1" applyAlignment="1">
      <alignment horizontal="left" wrapText="1"/>
    </xf>
    <xf numFmtId="0" fontId="17" fillId="9" borderId="17" xfId="0" applyFont="1" applyFill="1" applyBorder="1" applyAlignment="1">
      <alignment horizontal="center"/>
    </xf>
    <xf numFmtId="0" fontId="17" fillId="9" borderId="27" xfId="0" applyFont="1" applyFill="1" applyBorder="1" applyAlignment="1">
      <alignment horizontal="center"/>
    </xf>
    <xf numFmtId="0" fontId="17" fillId="9" borderId="10" xfId="0" applyFont="1" applyFill="1" applyBorder="1" applyAlignment="1">
      <alignment horizontal="center"/>
    </xf>
    <xf numFmtId="0" fontId="31" fillId="0" borderId="0" xfId="0" applyFont="1" applyAlignment="1">
      <alignment horizontal="left"/>
    </xf>
    <xf numFmtId="0" fontId="17" fillId="9" borderId="11" xfId="0" applyFont="1" applyFill="1" applyBorder="1" applyAlignment="1">
      <alignment horizontal="center"/>
    </xf>
    <xf numFmtId="0" fontId="31" fillId="0" borderId="0" xfId="0" applyFont="1" applyAlignment="1">
      <alignment horizontal="left" wrapText="1"/>
    </xf>
    <xf numFmtId="0" fontId="31" fillId="5" borderId="0" xfId="0" applyFont="1" applyFill="1" applyAlignment="1">
      <alignment horizontal="left" wrapText="1"/>
    </xf>
    <xf numFmtId="0" fontId="0" fillId="5" borderId="0" xfId="0" applyFill="1"/>
    <xf numFmtId="0" fontId="32" fillId="0" borderId="0" xfId="0" applyFont="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A8E06C"/>
      <color rgb="FFA5AFA5"/>
      <color rgb="FFFFC000"/>
      <color rgb="FF00006C"/>
      <color rgb="FFFF7CC8"/>
      <color rgb="FFE1006C"/>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21678459792862E-2"/>
          <c:y val="3.6150918635170608E-2"/>
          <c:w val="0.9123618481115211"/>
          <c:h val="0.87735214348206469"/>
        </c:manualLayout>
      </c:layout>
      <c:lineChart>
        <c:grouping val="standard"/>
        <c:varyColors val="0"/>
        <c:ser>
          <c:idx val="0"/>
          <c:order val="0"/>
          <c:tx>
            <c:strRef>
              <c:f>'Table 22'!$D$7</c:f>
              <c:strCache>
                <c:ptCount val="1"/>
                <c:pt idx="0">
                  <c:v>0-6
months</c:v>
                </c:pt>
              </c:strCache>
            </c:strRef>
          </c:tx>
          <c:spPr>
            <a:ln w="28575" cap="rnd">
              <a:solidFill>
                <a:srgbClr val="00006C"/>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22'!$D$28:$D$36</c:f>
              <c:numCache>
                <c:formatCode>#,##0</c:formatCode>
                <c:ptCount val="9"/>
                <c:pt idx="0">
                  <c:v>36.734139613834081</c:v>
                </c:pt>
                <c:pt idx="1">
                  <c:v>36.140958983246676</c:v>
                </c:pt>
                <c:pt idx="2">
                  <c:v>33.183126461593815</c:v>
                </c:pt>
                <c:pt idx="3">
                  <c:v>33.116504854368934</c:v>
                </c:pt>
                <c:pt idx="4">
                  <c:v>29.893187066974598</c:v>
                </c:pt>
                <c:pt idx="5" formatCode="0">
                  <c:v>34.149532710280376</c:v>
                </c:pt>
                <c:pt idx="6">
                  <c:v>40.543778801843317</c:v>
                </c:pt>
                <c:pt idx="7" formatCode="0">
                  <c:v>48.234457248541766</c:v>
                </c:pt>
                <c:pt idx="8">
                  <c:v>51.137159795203445</c:v>
                </c:pt>
              </c:numCache>
            </c:numRef>
          </c:val>
          <c:smooth val="0"/>
          <c:extLst>
            <c:ext xmlns:c16="http://schemas.microsoft.com/office/drawing/2014/chart" uri="{C3380CC4-5D6E-409C-BE32-E72D297353CC}">
              <c16:uniqueId val="{00000000-AF1A-4BB7-A41B-A817123DCBA9}"/>
            </c:ext>
          </c:extLst>
        </c:ser>
        <c:ser>
          <c:idx val="1"/>
          <c:order val="1"/>
          <c:tx>
            <c:strRef>
              <c:f>'Table 22'!$E$7</c:f>
              <c:strCache>
                <c:ptCount val="1"/>
                <c:pt idx="0">
                  <c:v>7-12
months</c:v>
                </c:pt>
              </c:strCache>
            </c:strRef>
          </c:tx>
          <c:spPr>
            <a:ln w="28575" cap="rnd">
              <a:solidFill>
                <a:srgbClr val="FFC000"/>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22'!$E$28:$E$36</c:f>
              <c:numCache>
                <c:formatCode>0</c:formatCode>
                <c:ptCount val="9"/>
                <c:pt idx="0">
                  <c:v>26.58391682580098</c:v>
                </c:pt>
                <c:pt idx="1">
                  <c:v>24.846909300982091</c:v>
                </c:pt>
                <c:pt idx="2">
                  <c:v>22.682137075013493</c:v>
                </c:pt>
                <c:pt idx="3">
                  <c:v>24.939590075512402</c:v>
                </c:pt>
                <c:pt idx="4">
                  <c:v>24.711701308699002</c:v>
                </c:pt>
                <c:pt idx="5">
                  <c:v>20.803738317757009</c:v>
                </c:pt>
                <c:pt idx="6">
                  <c:v>25.244239631336406</c:v>
                </c:pt>
                <c:pt idx="7">
                  <c:v>31.166880068288521</c:v>
                </c:pt>
                <c:pt idx="8">
                  <c:v>38.352869846402584</c:v>
                </c:pt>
              </c:numCache>
            </c:numRef>
          </c:val>
          <c:smooth val="0"/>
          <c:extLst>
            <c:ext xmlns:c16="http://schemas.microsoft.com/office/drawing/2014/chart" uri="{C3380CC4-5D6E-409C-BE32-E72D297353CC}">
              <c16:uniqueId val="{00000001-AF1A-4BB7-A41B-A817123DCBA9}"/>
            </c:ext>
          </c:extLst>
        </c:ser>
        <c:ser>
          <c:idx val="2"/>
          <c:order val="2"/>
          <c:tx>
            <c:strRef>
              <c:f>'Table 22'!$F$7</c:f>
              <c:strCache>
                <c:ptCount val="1"/>
                <c:pt idx="0">
                  <c:v>13-18
months</c:v>
                </c:pt>
              </c:strCache>
            </c:strRef>
          </c:tx>
          <c:spPr>
            <a:ln w="28575" cap="rnd">
              <a:solidFill>
                <a:srgbClr val="A5AFA5"/>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22'!$F$28:$F$36</c:f>
              <c:numCache>
                <c:formatCode>0</c:formatCode>
                <c:ptCount val="9"/>
                <c:pt idx="0">
                  <c:v>19.817101633778911</c:v>
                </c:pt>
                <c:pt idx="1">
                  <c:v>16.715193529751591</c:v>
                </c:pt>
                <c:pt idx="2">
                  <c:v>16.381543443065301</c:v>
                </c:pt>
                <c:pt idx="3">
                  <c:v>21.259978425026969</c:v>
                </c:pt>
                <c:pt idx="4">
                  <c:v>21.124518860662047</c:v>
                </c:pt>
                <c:pt idx="5">
                  <c:v>20.803738317757009</c:v>
                </c:pt>
                <c:pt idx="6">
                  <c:v>21.41935483870968</c:v>
                </c:pt>
                <c:pt idx="7">
                  <c:v>27.085502916488831</c:v>
                </c:pt>
                <c:pt idx="8">
                  <c:v>35.796011856642409</c:v>
                </c:pt>
              </c:numCache>
            </c:numRef>
          </c:val>
          <c:smooth val="0"/>
          <c:extLst>
            <c:ext xmlns:c16="http://schemas.microsoft.com/office/drawing/2014/chart" uri="{C3380CC4-5D6E-409C-BE32-E72D297353CC}">
              <c16:uniqueId val="{00000002-AF1A-4BB7-A41B-A817123DCBA9}"/>
            </c:ext>
          </c:extLst>
        </c:ser>
        <c:ser>
          <c:idx val="3"/>
          <c:order val="3"/>
          <c:tx>
            <c:strRef>
              <c:f>'Table 22'!$G$7</c:f>
              <c:strCache>
                <c:ptCount val="1"/>
                <c:pt idx="0">
                  <c:v>19-24
months</c:v>
                </c:pt>
              </c:strCache>
            </c:strRef>
          </c:tx>
          <c:spPr>
            <a:ln w="28575" cap="rnd">
              <a:solidFill>
                <a:srgbClr val="A8E06C"/>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22'!$G$28:$G$36</c:f>
              <c:numCache>
                <c:formatCode>0</c:formatCode>
                <c:ptCount val="9"/>
                <c:pt idx="0">
                  <c:v>29.967324421812016</c:v>
                </c:pt>
                <c:pt idx="1">
                  <c:v>27.557481224725592</c:v>
                </c:pt>
                <c:pt idx="2">
                  <c:v>26.462493254182409</c:v>
                </c:pt>
                <c:pt idx="3">
                  <c:v>28.619201725997844</c:v>
                </c:pt>
                <c:pt idx="4">
                  <c:v>22.718822170900694</c:v>
                </c:pt>
                <c:pt idx="5">
                  <c:v>22.766355140186914</c:v>
                </c:pt>
                <c:pt idx="6">
                  <c:v>14.152073732718895</c:v>
                </c:pt>
                <c:pt idx="7">
                  <c:v>18.180680039834968</c:v>
                </c:pt>
                <c:pt idx="8">
                  <c:v>18.993802209646994</c:v>
                </c:pt>
              </c:numCache>
            </c:numRef>
          </c:val>
          <c:smooth val="0"/>
          <c:extLst>
            <c:ext xmlns:c16="http://schemas.microsoft.com/office/drawing/2014/chart" uri="{C3380CC4-5D6E-409C-BE32-E72D297353CC}">
              <c16:uniqueId val="{00000003-AF1A-4BB7-A41B-A817123DCBA9}"/>
            </c:ext>
          </c:extLst>
        </c:ser>
        <c:dLbls>
          <c:showLegendKey val="0"/>
          <c:showVal val="0"/>
          <c:showCatName val="0"/>
          <c:showSerName val="0"/>
          <c:showPercent val="0"/>
          <c:showBubbleSize val="0"/>
        </c:dLbls>
        <c:smooth val="0"/>
        <c:axId val="1322157888"/>
        <c:axId val="1322148528"/>
      </c:lineChart>
      <c:catAx>
        <c:axId val="1322157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22148528"/>
        <c:crosses val="autoZero"/>
        <c:auto val="1"/>
        <c:lblAlgn val="ctr"/>
        <c:lblOffset val="100"/>
        <c:noMultiLvlLbl val="0"/>
      </c:catAx>
      <c:valAx>
        <c:axId val="1322148528"/>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GB" b="1"/>
                  <a:t>Number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22157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21678459792862E-2"/>
          <c:y val="3.6150918635170608E-2"/>
          <c:w val="0.9123618481115211"/>
          <c:h val="0.87735214348206469"/>
        </c:manualLayout>
      </c:layout>
      <c:lineChart>
        <c:grouping val="standard"/>
        <c:varyColors val="0"/>
        <c:ser>
          <c:idx val="0"/>
          <c:order val="0"/>
          <c:tx>
            <c:strRef>
              <c:f>'Table 22'!$D$7</c:f>
              <c:strCache>
                <c:ptCount val="1"/>
                <c:pt idx="0">
                  <c:v>0-6
months</c:v>
                </c:pt>
              </c:strCache>
            </c:strRef>
          </c:tx>
          <c:spPr>
            <a:ln w="28575" cap="rnd">
              <a:solidFill>
                <a:srgbClr val="00006C"/>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22'!$D$8:$D$16</c:f>
              <c:numCache>
                <c:formatCode>#,##0</c:formatCode>
                <c:ptCount val="9"/>
                <c:pt idx="0">
                  <c:v>30.450668364099304</c:v>
                </c:pt>
                <c:pt idx="1">
                  <c:v>29.364529173887931</c:v>
                </c:pt>
                <c:pt idx="2">
                  <c:v>27.302572405108833</c:v>
                </c:pt>
                <c:pt idx="3">
                  <c:v>24.939590075512402</c:v>
                </c:pt>
                <c:pt idx="4">
                  <c:v>22.718822170900694</c:v>
                </c:pt>
                <c:pt idx="5" formatCode="0">
                  <c:v>22.766355140186914</c:v>
                </c:pt>
                <c:pt idx="6">
                  <c:v>28.30414746543779</c:v>
                </c:pt>
                <c:pt idx="7" formatCode="0">
                  <c:v>35.619291506615447</c:v>
                </c:pt>
                <c:pt idx="8">
                  <c:v>38.718135273511187</c:v>
                </c:pt>
              </c:numCache>
            </c:numRef>
          </c:val>
          <c:smooth val="0"/>
          <c:extLst>
            <c:ext xmlns:c16="http://schemas.microsoft.com/office/drawing/2014/chart" uri="{C3380CC4-5D6E-409C-BE32-E72D297353CC}">
              <c16:uniqueId val="{00000000-8488-489C-8FD5-F2F8046F87C1}"/>
            </c:ext>
          </c:extLst>
        </c:ser>
        <c:ser>
          <c:idx val="1"/>
          <c:order val="1"/>
          <c:tx>
            <c:strRef>
              <c:f>'Table 22'!$E$7</c:f>
              <c:strCache>
                <c:ptCount val="1"/>
                <c:pt idx="0">
                  <c:v>7-12
months</c:v>
                </c:pt>
              </c:strCache>
            </c:strRef>
          </c:tx>
          <c:spPr>
            <a:ln w="28575" cap="rnd">
              <a:solidFill>
                <a:srgbClr val="FFC000"/>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22'!$E$8:$E$16</c:f>
              <c:numCache>
                <c:formatCode>0</c:formatCode>
                <c:ptCount val="9"/>
                <c:pt idx="0">
                  <c:v>17.400381922342461</c:v>
                </c:pt>
                <c:pt idx="1">
                  <c:v>18.522241478913923</c:v>
                </c:pt>
                <c:pt idx="2">
                  <c:v>17.221622593991725</c:v>
                </c:pt>
                <c:pt idx="3">
                  <c:v>17.171521035598708</c:v>
                </c:pt>
                <c:pt idx="4">
                  <c:v>15.943033102386453</c:v>
                </c:pt>
                <c:pt idx="5">
                  <c:v>12.16822429906542</c:v>
                </c:pt>
                <c:pt idx="6">
                  <c:v>17.211981566820278</c:v>
                </c:pt>
                <c:pt idx="7">
                  <c:v>21.891022905107413</c:v>
                </c:pt>
                <c:pt idx="8">
                  <c:v>27.029641606036112</c:v>
                </c:pt>
              </c:numCache>
            </c:numRef>
          </c:val>
          <c:smooth val="0"/>
          <c:extLst>
            <c:ext xmlns:c16="http://schemas.microsoft.com/office/drawing/2014/chart" uri="{C3380CC4-5D6E-409C-BE32-E72D297353CC}">
              <c16:uniqueId val="{00000001-8488-489C-8FD5-F2F8046F87C1}"/>
            </c:ext>
          </c:extLst>
        </c:ser>
        <c:ser>
          <c:idx val="2"/>
          <c:order val="2"/>
          <c:tx>
            <c:strRef>
              <c:f>'Table 22'!$F$7</c:f>
              <c:strCache>
                <c:ptCount val="1"/>
                <c:pt idx="0">
                  <c:v>13-18
months</c:v>
                </c:pt>
              </c:strCache>
            </c:strRef>
          </c:tx>
          <c:spPr>
            <a:ln w="28575" cap="rnd">
              <a:solidFill>
                <a:srgbClr val="A5AFA5"/>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22'!$F$8:$F$16</c:f>
              <c:numCache>
                <c:formatCode>0</c:formatCode>
                <c:ptCount val="9"/>
                <c:pt idx="0">
                  <c:v>14.016974326331425</c:v>
                </c:pt>
                <c:pt idx="1">
                  <c:v>12.649335644136338</c:v>
                </c:pt>
                <c:pt idx="2">
                  <c:v>12.181147688433171</c:v>
                </c:pt>
                <c:pt idx="3">
                  <c:v>13.491909385113269</c:v>
                </c:pt>
                <c:pt idx="4">
                  <c:v>12.754426481909158</c:v>
                </c:pt>
                <c:pt idx="5">
                  <c:v>12.5607476635514</c:v>
                </c:pt>
                <c:pt idx="6">
                  <c:v>16.447004608294932</c:v>
                </c:pt>
                <c:pt idx="7">
                  <c:v>18.551714326362216</c:v>
                </c:pt>
                <c:pt idx="8">
                  <c:v>23.742252762058747</c:v>
                </c:pt>
              </c:numCache>
            </c:numRef>
          </c:val>
          <c:smooth val="0"/>
          <c:extLst>
            <c:ext xmlns:c16="http://schemas.microsoft.com/office/drawing/2014/chart" uri="{C3380CC4-5D6E-409C-BE32-E72D297353CC}">
              <c16:uniqueId val="{00000002-8488-489C-8FD5-F2F8046F87C1}"/>
            </c:ext>
          </c:extLst>
        </c:ser>
        <c:ser>
          <c:idx val="3"/>
          <c:order val="3"/>
          <c:tx>
            <c:strRef>
              <c:f>'Table 22'!$G$7</c:f>
              <c:strCache>
                <c:ptCount val="1"/>
                <c:pt idx="0">
                  <c:v>19-24
months</c:v>
                </c:pt>
              </c:strCache>
            </c:strRef>
          </c:tx>
          <c:spPr>
            <a:ln w="28575" cap="rnd">
              <a:solidFill>
                <a:srgbClr val="A8E06C"/>
              </a:solidFill>
              <a:round/>
            </a:ln>
            <a:effectLst/>
          </c:spPr>
          <c:marker>
            <c:symbol val="none"/>
          </c:marker>
          <c:cat>
            <c:strRef>
              <c:f>'Table 22'!$K$8:$K$16</c:f>
              <c:strCache>
                <c:ptCount val="9"/>
                <c:pt idx="0">
                  <c:v>2014-2016</c:v>
                </c:pt>
                <c:pt idx="1">
                  <c:v>2015-2017</c:v>
                </c:pt>
                <c:pt idx="2">
                  <c:v>2016-2018</c:v>
                </c:pt>
                <c:pt idx="3">
                  <c:v>2017-2019</c:v>
                </c:pt>
                <c:pt idx="4">
                  <c:v>2018-2020</c:v>
                </c:pt>
                <c:pt idx="5">
                  <c:v>2019-2021</c:v>
                </c:pt>
                <c:pt idx="6">
                  <c:v>2020-2022</c:v>
                </c:pt>
                <c:pt idx="7">
                  <c:v>2021-2023</c:v>
                </c:pt>
                <c:pt idx="8">
                  <c:v>2022-2024</c:v>
                </c:pt>
              </c:strCache>
            </c:strRef>
          </c:cat>
          <c:val>
            <c:numRef>
              <c:f>'Table 22'!$G$8:$G$16</c:f>
              <c:numCache>
                <c:formatCode>0</c:formatCode>
                <c:ptCount val="9"/>
                <c:pt idx="0">
                  <c:v>19.333757691491623</c:v>
                </c:pt>
                <c:pt idx="1">
                  <c:v>19.425765453495089</c:v>
                </c:pt>
                <c:pt idx="2">
                  <c:v>18.901780895844578</c:v>
                </c:pt>
                <c:pt idx="3">
                  <c:v>22.895361380798274</c:v>
                </c:pt>
                <c:pt idx="4">
                  <c:v>19.928791377983064</c:v>
                </c:pt>
                <c:pt idx="5">
                  <c:v>18.44859813084112</c:v>
                </c:pt>
                <c:pt idx="6">
                  <c:v>11.092165898617511</c:v>
                </c:pt>
                <c:pt idx="7">
                  <c:v>11.502062882344573</c:v>
                </c:pt>
                <c:pt idx="8">
                  <c:v>10.22743195904069</c:v>
                </c:pt>
              </c:numCache>
            </c:numRef>
          </c:val>
          <c:smooth val="0"/>
          <c:extLst>
            <c:ext xmlns:c16="http://schemas.microsoft.com/office/drawing/2014/chart" uri="{C3380CC4-5D6E-409C-BE32-E72D297353CC}">
              <c16:uniqueId val="{00000003-8488-489C-8FD5-F2F8046F87C1}"/>
            </c:ext>
          </c:extLst>
        </c:ser>
        <c:dLbls>
          <c:showLegendKey val="0"/>
          <c:showVal val="0"/>
          <c:showCatName val="0"/>
          <c:showSerName val="0"/>
          <c:showPercent val="0"/>
          <c:showBubbleSize val="0"/>
        </c:dLbls>
        <c:smooth val="0"/>
        <c:axId val="1322157888"/>
        <c:axId val="1322148528"/>
      </c:lineChart>
      <c:catAx>
        <c:axId val="1322157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22148528"/>
        <c:crosses val="autoZero"/>
        <c:auto val="1"/>
        <c:lblAlgn val="ctr"/>
        <c:lblOffset val="100"/>
        <c:noMultiLvlLbl val="0"/>
      </c:catAx>
      <c:valAx>
        <c:axId val="1322148528"/>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GB" b="1"/>
                  <a:t>Number</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22157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23'!$D$7</c:f>
              <c:strCache>
                <c:ptCount val="1"/>
                <c:pt idx="0">
                  <c:v>Built-up
roads
up to 40mph</c:v>
                </c:pt>
              </c:strCache>
            </c:strRef>
          </c:tx>
          <c:spPr>
            <a:ln w="28575" cap="rnd">
              <a:solidFill>
                <a:srgbClr val="00006C"/>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23'!$D$8:$D$18</c:f>
              <c:numCache>
                <c:formatCode>0%</c:formatCode>
                <c:ptCount val="11"/>
                <c:pt idx="0">
                  <c:v>0.4400402620017263</c:v>
                </c:pt>
                <c:pt idx="1">
                  <c:v>0.4926376758471942</c:v>
                </c:pt>
                <c:pt idx="2">
                  <c:v>0.44415921066651642</c:v>
                </c:pt>
                <c:pt idx="3">
                  <c:v>0.40734363642067201</c:v>
                </c:pt>
                <c:pt idx="4">
                  <c:v>0.38816493485330184</c:v>
                </c:pt>
                <c:pt idx="5">
                  <c:v>0.37355235653450408</c:v>
                </c:pt>
                <c:pt idx="6">
                  <c:v>0.38317016255553649</c:v>
                </c:pt>
                <c:pt idx="7">
                  <c:v>0.3768736983574939</c:v>
                </c:pt>
                <c:pt idx="8">
                  <c:v>0.37225085236840771</c:v>
                </c:pt>
                <c:pt idx="9">
                  <c:v>0.4776746591578433</c:v>
                </c:pt>
                <c:pt idx="10">
                  <c:v>0.46418618954803276</c:v>
                </c:pt>
              </c:numCache>
            </c:numRef>
          </c:val>
          <c:smooth val="0"/>
          <c:extLst>
            <c:ext xmlns:c16="http://schemas.microsoft.com/office/drawing/2014/chart" uri="{C3380CC4-5D6E-409C-BE32-E72D297353CC}">
              <c16:uniqueId val="{00000000-1670-4D8E-A408-35D536F8CBE1}"/>
            </c:ext>
          </c:extLst>
        </c:ser>
        <c:ser>
          <c:idx val="1"/>
          <c:order val="1"/>
          <c:tx>
            <c:strRef>
              <c:f>'Table 23'!$E$7</c:f>
              <c:strCache>
                <c:ptCount val="1"/>
                <c:pt idx="0">
                  <c:v>Dual
Carriageways</c:v>
                </c:pt>
              </c:strCache>
            </c:strRef>
          </c:tx>
          <c:spPr>
            <a:ln w="28575" cap="rnd">
              <a:solidFill>
                <a:srgbClr val="FFC000"/>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23'!$E$8:$E$18</c:f>
              <c:numCache>
                <c:formatCode>0%</c:formatCode>
                <c:ptCount val="11"/>
                <c:pt idx="0">
                  <c:v>0.27732865240247073</c:v>
                </c:pt>
                <c:pt idx="1">
                  <c:v>0.28498144462444525</c:v>
                </c:pt>
                <c:pt idx="2">
                  <c:v>0.2749989600500044</c:v>
                </c:pt>
                <c:pt idx="3">
                  <c:v>0.31620532571539683</c:v>
                </c:pt>
                <c:pt idx="4">
                  <c:v>0.31102250690262917</c:v>
                </c:pt>
                <c:pt idx="5">
                  <c:v>0.28919891630069028</c:v>
                </c:pt>
                <c:pt idx="6">
                  <c:v>0.34871339949934155</c:v>
                </c:pt>
                <c:pt idx="7">
                  <c:v>0.29500111421567787</c:v>
                </c:pt>
                <c:pt idx="8">
                  <c:v>0.30435635733541022</c:v>
                </c:pt>
                <c:pt idx="9">
                  <c:v>0.23489083430812085</c:v>
                </c:pt>
                <c:pt idx="10">
                  <c:v>0.24214614687858185</c:v>
                </c:pt>
              </c:numCache>
            </c:numRef>
          </c:val>
          <c:smooth val="0"/>
          <c:extLst>
            <c:ext xmlns:c16="http://schemas.microsoft.com/office/drawing/2014/chart" uri="{C3380CC4-5D6E-409C-BE32-E72D297353CC}">
              <c16:uniqueId val="{00000001-1670-4D8E-A408-35D536F8CBE1}"/>
            </c:ext>
          </c:extLst>
        </c:ser>
        <c:ser>
          <c:idx val="2"/>
          <c:order val="2"/>
          <c:tx>
            <c:strRef>
              <c:f>'Table 23'!$F$7</c:f>
              <c:strCache>
                <c:ptCount val="1"/>
                <c:pt idx="0">
                  <c:v>Motorways</c:v>
                </c:pt>
              </c:strCache>
            </c:strRef>
          </c:tx>
          <c:spPr>
            <a:ln w="28575" cap="rnd">
              <a:solidFill>
                <a:srgbClr val="A5AFA5"/>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23'!$F$8:$F$18</c:f>
              <c:numCache>
                <c:formatCode>0%</c:formatCode>
                <c:ptCount val="11"/>
                <c:pt idx="0">
                  <c:v>0.19341344851271525</c:v>
                </c:pt>
                <c:pt idx="1">
                  <c:v>0.16702619341626843</c:v>
                </c:pt>
                <c:pt idx="2">
                  <c:v>0.16960388620748093</c:v>
                </c:pt>
                <c:pt idx="3">
                  <c:v>0.12598658075738617</c:v>
                </c:pt>
                <c:pt idx="4">
                  <c:v>0.16906344112935878</c:v>
                </c:pt>
                <c:pt idx="5">
                  <c:v>0.16991831813524511</c:v>
                </c:pt>
                <c:pt idx="6">
                  <c:v>0.2106188085247433</c:v>
                </c:pt>
                <c:pt idx="7">
                  <c:v>0.22419451841823376</c:v>
                </c:pt>
                <c:pt idx="8">
                  <c:v>0.17826148021589119</c:v>
                </c:pt>
                <c:pt idx="9">
                  <c:v>0.13852938456140501</c:v>
                </c:pt>
                <c:pt idx="10">
                  <c:v>0.19617814995076974</c:v>
                </c:pt>
              </c:numCache>
            </c:numRef>
          </c:val>
          <c:smooth val="0"/>
          <c:extLst>
            <c:ext xmlns:c16="http://schemas.microsoft.com/office/drawing/2014/chart" uri="{C3380CC4-5D6E-409C-BE32-E72D297353CC}">
              <c16:uniqueId val="{00000002-1670-4D8E-A408-35D536F8CBE1}"/>
            </c:ext>
          </c:extLst>
        </c:ser>
        <c:ser>
          <c:idx val="3"/>
          <c:order val="3"/>
          <c:tx>
            <c:strRef>
              <c:f>'Table 23'!$G$7</c:f>
              <c:strCache>
                <c:ptCount val="1"/>
                <c:pt idx="0">
                  <c:v>Single Carriageways
above 40mph</c:v>
                </c:pt>
              </c:strCache>
            </c:strRef>
          </c:tx>
          <c:spPr>
            <a:ln w="28575" cap="rnd">
              <a:solidFill>
                <a:srgbClr val="A8E06C"/>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23'!$G$8:$G$18</c:f>
              <c:numCache>
                <c:formatCode>0%</c:formatCode>
                <c:ptCount val="11"/>
                <c:pt idx="0">
                  <c:v>0.10217042990507925</c:v>
                </c:pt>
                <c:pt idx="1">
                  <c:v>0.1090846023048592</c:v>
                </c:pt>
                <c:pt idx="2">
                  <c:v>0.10063820391409445</c:v>
                </c:pt>
                <c:pt idx="3">
                  <c:v>0.10397751364505989</c:v>
                </c:pt>
                <c:pt idx="4">
                  <c:v>0.1158750855132745</c:v>
                </c:pt>
                <c:pt idx="5">
                  <c:v>0.12071355319263777</c:v>
                </c:pt>
                <c:pt idx="6">
                  <c:v>0.10398108542336101</c:v>
                </c:pt>
                <c:pt idx="7">
                  <c:v>0.11049217326586733</c:v>
                </c:pt>
                <c:pt idx="8">
                  <c:v>0.14288469789833763</c:v>
                </c:pt>
                <c:pt idx="9">
                  <c:v>0.16841813498492256</c:v>
                </c:pt>
                <c:pt idx="10">
                  <c:v>0.18509720641537725</c:v>
                </c:pt>
              </c:numCache>
            </c:numRef>
          </c:val>
          <c:smooth val="0"/>
          <c:extLst>
            <c:ext xmlns:c16="http://schemas.microsoft.com/office/drawing/2014/chart" uri="{C3380CC4-5D6E-409C-BE32-E72D297353CC}">
              <c16:uniqueId val="{00000003-1670-4D8E-A408-35D536F8CBE1}"/>
            </c:ext>
          </c:extLst>
        </c:ser>
        <c:dLbls>
          <c:showLegendKey val="0"/>
          <c:showVal val="0"/>
          <c:showCatName val="0"/>
          <c:showSerName val="0"/>
          <c:showPercent val="0"/>
          <c:showBubbleSize val="0"/>
        </c:dLbls>
        <c:smooth val="0"/>
        <c:axId val="1382717440"/>
        <c:axId val="1382718520"/>
      </c:lineChart>
      <c:catAx>
        <c:axId val="138271744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2718520"/>
        <c:crosses val="autoZero"/>
        <c:auto val="1"/>
        <c:lblAlgn val="ctr"/>
        <c:lblOffset val="100"/>
        <c:noMultiLvlLbl val="0"/>
      </c:catAx>
      <c:valAx>
        <c:axId val="138271852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271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23'!$D$7</c:f>
              <c:strCache>
                <c:ptCount val="1"/>
                <c:pt idx="0">
                  <c:v>Built-up
roads
up to 40mph</c:v>
                </c:pt>
              </c:strCache>
            </c:strRef>
          </c:tx>
          <c:spPr>
            <a:ln w="28575" cap="rnd">
              <a:solidFill>
                <a:srgbClr val="00006C"/>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23'!$D$20:$D$30</c:f>
              <c:numCache>
                <c:formatCode>0%</c:formatCode>
                <c:ptCount val="11"/>
                <c:pt idx="0">
                  <c:v>0.65622999059341891</c:v>
                </c:pt>
                <c:pt idx="1">
                  <c:v>0.70178732407507471</c:v>
                </c:pt>
                <c:pt idx="2">
                  <c:v>0.66557623045876313</c:v>
                </c:pt>
                <c:pt idx="3">
                  <c:v>0.69485265317135858</c:v>
                </c:pt>
                <c:pt idx="4">
                  <c:v>0.66790794890841043</c:v>
                </c:pt>
                <c:pt idx="5">
                  <c:v>0.66953026780924618</c:v>
                </c:pt>
                <c:pt idx="6">
                  <c:v>0.64703214274971455</c:v>
                </c:pt>
                <c:pt idx="7">
                  <c:v>0.69797718864460856</c:v>
                </c:pt>
                <c:pt idx="8">
                  <c:v>0.68127803572833867</c:v>
                </c:pt>
                <c:pt idx="9">
                  <c:v>0.6517992313962967</c:v>
                </c:pt>
                <c:pt idx="10">
                  <c:v>0.75005355712258825</c:v>
                </c:pt>
              </c:numCache>
            </c:numRef>
          </c:val>
          <c:smooth val="0"/>
          <c:extLst>
            <c:ext xmlns:c16="http://schemas.microsoft.com/office/drawing/2014/chart" uri="{C3380CC4-5D6E-409C-BE32-E72D297353CC}">
              <c16:uniqueId val="{00000000-0678-4EC6-9172-D13449A6DDB1}"/>
            </c:ext>
          </c:extLst>
        </c:ser>
        <c:ser>
          <c:idx val="1"/>
          <c:order val="1"/>
          <c:tx>
            <c:strRef>
              <c:f>'Table 23'!$E$7</c:f>
              <c:strCache>
                <c:ptCount val="1"/>
                <c:pt idx="0">
                  <c:v>Dual
Carriageways</c:v>
                </c:pt>
              </c:strCache>
            </c:strRef>
          </c:tx>
          <c:spPr>
            <a:ln w="28575" cap="rnd">
              <a:solidFill>
                <a:srgbClr val="FFC000"/>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23'!$E$20:$E$30</c:f>
              <c:numCache>
                <c:formatCode>0%</c:formatCode>
                <c:ptCount val="11"/>
                <c:pt idx="0">
                  <c:v>0.41761487384979717</c:v>
                </c:pt>
                <c:pt idx="1">
                  <c:v>0.44775791898094924</c:v>
                </c:pt>
                <c:pt idx="2">
                  <c:v>0.46533927979348744</c:v>
                </c:pt>
                <c:pt idx="3">
                  <c:v>0.50479537807544717</c:v>
                </c:pt>
                <c:pt idx="4">
                  <c:v>0.47298321227329798</c:v>
                </c:pt>
                <c:pt idx="5">
                  <c:v>0.45102274000809661</c:v>
                </c:pt>
                <c:pt idx="6">
                  <c:v>0.50151412892205005</c:v>
                </c:pt>
                <c:pt idx="7">
                  <c:v>0.4760519550018032</c:v>
                </c:pt>
                <c:pt idx="8">
                  <c:v>0.43867842079264358</c:v>
                </c:pt>
                <c:pt idx="9">
                  <c:v>0.49685208760384075</c:v>
                </c:pt>
                <c:pt idx="10">
                  <c:v>0.41455268320612754</c:v>
                </c:pt>
              </c:numCache>
            </c:numRef>
          </c:val>
          <c:smooth val="0"/>
          <c:extLst>
            <c:ext xmlns:c16="http://schemas.microsoft.com/office/drawing/2014/chart" uri="{C3380CC4-5D6E-409C-BE32-E72D297353CC}">
              <c16:uniqueId val="{00000001-0678-4EC6-9172-D13449A6DDB1}"/>
            </c:ext>
          </c:extLst>
        </c:ser>
        <c:ser>
          <c:idx val="2"/>
          <c:order val="2"/>
          <c:tx>
            <c:strRef>
              <c:f>'Table 23'!$F$7</c:f>
              <c:strCache>
                <c:ptCount val="1"/>
                <c:pt idx="0">
                  <c:v>Motorways</c:v>
                </c:pt>
              </c:strCache>
            </c:strRef>
          </c:tx>
          <c:spPr>
            <a:ln w="28575" cap="rnd">
              <a:solidFill>
                <a:srgbClr val="A5AFA5"/>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23'!$F$20:$F$30</c:f>
              <c:numCache>
                <c:formatCode>0%</c:formatCode>
                <c:ptCount val="11"/>
                <c:pt idx="0">
                  <c:v>0.204323687290449</c:v>
                </c:pt>
                <c:pt idx="1">
                  <c:v>0.16927785171029205</c:v>
                </c:pt>
                <c:pt idx="2">
                  <c:v>0.20824579121265724</c:v>
                </c:pt>
                <c:pt idx="3">
                  <c:v>0.14058214751801154</c:v>
                </c:pt>
                <c:pt idx="4">
                  <c:v>0.16445106392834161</c:v>
                </c:pt>
                <c:pt idx="5">
                  <c:v>0.16783160791618273</c:v>
                </c:pt>
                <c:pt idx="6">
                  <c:v>0.23540696867056701</c:v>
                </c:pt>
                <c:pt idx="7">
                  <c:v>0.25733719002557459</c:v>
                </c:pt>
                <c:pt idx="8">
                  <c:v>0.21710173773252697</c:v>
                </c:pt>
                <c:pt idx="9">
                  <c:v>0.19169370429212476</c:v>
                </c:pt>
                <c:pt idx="10">
                  <c:v>0.24429921146191771</c:v>
                </c:pt>
              </c:numCache>
            </c:numRef>
          </c:val>
          <c:smooth val="0"/>
          <c:extLst>
            <c:ext xmlns:c16="http://schemas.microsoft.com/office/drawing/2014/chart" uri="{C3380CC4-5D6E-409C-BE32-E72D297353CC}">
              <c16:uniqueId val="{00000002-0678-4EC6-9172-D13449A6DDB1}"/>
            </c:ext>
          </c:extLst>
        </c:ser>
        <c:ser>
          <c:idx val="3"/>
          <c:order val="3"/>
          <c:tx>
            <c:strRef>
              <c:f>'Table 23'!$G$7</c:f>
              <c:strCache>
                <c:ptCount val="1"/>
                <c:pt idx="0">
                  <c:v>Single Carriageways
above 40mph</c:v>
                </c:pt>
              </c:strCache>
            </c:strRef>
          </c:tx>
          <c:spPr>
            <a:ln w="28575" cap="rnd">
              <a:solidFill>
                <a:srgbClr val="A8E06C"/>
              </a:solidFill>
              <a:round/>
            </a:ln>
            <a:effectLst/>
          </c:spPr>
          <c:marker>
            <c:symbol val="none"/>
          </c:marker>
          <c:cat>
            <c:numRef>
              <c:f>'Table 23'!$M$8:$M$18</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'Table 23'!$G$20:$G$30</c:f>
              <c:numCache>
                <c:formatCode>0%</c:formatCode>
                <c:ptCount val="11"/>
                <c:pt idx="0">
                  <c:v>0.21210789160198631</c:v>
                </c:pt>
                <c:pt idx="1">
                  <c:v>0.23578598197695053</c:v>
                </c:pt>
                <c:pt idx="2">
                  <c:v>0.23481949822072021</c:v>
                </c:pt>
                <c:pt idx="3">
                  <c:v>0.23201244552760839</c:v>
                </c:pt>
                <c:pt idx="4">
                  <c:v>0.2356817010457605</c:v>
                </c:pt>
                <c:pt idx="5">
                  <c:v>0.23549342977103768</c:v>
                </c:pt>
                <c:pt idx="6">
                  <c:v>0.22883512345616641</c:v>
                </c:pt>
                <c:pt idx="7">
                  <c:v>0.25497514216394257</c:v>
                </c:pt>
                <c:pt idx="8">
                  <c:v>0.26695855224751897</c:v>
                </c:pt>
                <c:pt idx="9">
                  <c:v>0.31782727847656522</c:v>
                </c:pt>
                <c:pt idx="10">
                  <c:v>0.3317167458014097</c:v>
                </c:pt>
              </c:numCache>
            </c:numRef>
          </c:val>
          <c:smooth val="0"/>
          <c:extLst>
            <c:ext xmlns:c16="http://schemas.microsoft.com/office/drawing/2014/chart" uri="{C3380CC4-5D6E-409C-BE32-E72D297353CC}">
              <c16:uniqueId val="{00000003-0678-4EC6-9172-D13449A6DDB1}"/>
            </c:ext>
          </c:extLst>
        </c:ser>
        <c:dLbls>
          <c:showLegendKey val="0"/>
          <c:showVal val="0"/>
          <c:showCatName val="0"/>
          <c:showSerName val="0"/>
          <c:showPercent val="0"/>
          <c:showBubbleSize val="0"/>
        </c:dLbls>
        <c:smooth val="0"/>
        <c:axId val="1382717440"/>
        <c:axId val="1382718520"/>
      </c:lineChart>
      <c:catAx>
        <c:axId val="138271744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2718520"/>
        <c:crosses val="autoZero"/>
        <c:auto val="1"/>
        <c:lblAlgn val="ctr"/>
        <c:lblOffset val="100"/>
        <c:noMultiLvlLbl val="0"/>
      </c:catAx>
      <c:valAx>
        <c:axId val="1382718520"/>
        <c:scaling>
          <c:orientation val="minMax"/>
        </c:scaling>
        <c:delete val="0"/>
        <c:axPos val="l"/>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271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09265050832428E-2"/>
          <c:y val="5.8130465399142191E-2"/>
          <c:w val="0.89719225054577034"/>
          <c:h val="0.82673682862812881"/>
        </c:manualLayout>
      </c:layout>
      <c:lineChart>
        <c:grouping val="standard"/>
        <c:varyColors val="0"/>
        <c:ser>
          <c:idx val="0"/>
          <c:order val="0"/>
          <c:tx>
            <c:strRef>
              <c:f>'Table 37'!$C$7</c:f>
              <c:strCache>
                <c:ptCount val="1"/>
                <c:pt idx="0">
                  <c:v>Private Car</c:v>
                </c:pt>
              </c:strCache>
            </c:strRef>
          </c:tx>
          <c:spPr>
            <a:ln w="28575" cap="rnd">
              <a:solidFill>
                <a:srgbClr val="00006C"/>
              </a:solidFill>
              <a:round/>
            </a:ln>
            <a:effectLst/>
          </c:spPr>
          <c:marker>
            <c:symbol val="none"/>
          </c:marker>
          <c:cat>
            <c:strRef>
              <c:f>'Table 37'!$B$8:$B$19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37'!$C$8:$C$19</c:f>
              <c:numCache>
                <c:formatCode>0%</c:formatCode>
                <c:ptCount val="12"/>
                <c:pt idx="0">
                  <c:v>0.79767513930475376</c:v>
                </c:pt>
                <c:pt idx="1">
                  <c:v>0.80796905704356969</c:v>
                </c:pt>
                <c:pt idx="2">
                  <c:v>0.80524426254089421</c:v>
                </c:pt>
                <c:pt idx="3">
                  <c:v>0.810496529762611</c:v>
                </c:pt>
                <c:pt idx="4">
                  <c:v>0.81013314130324243</c:v>
                </c:pt>
                <c:pt idx="5">
                  <c:v>0.81513692638796487</c:v>
                </c:pt>
                <c:pt idx="6">
                  <c:v>0.82005021882368823</c:v>
                </c:pt>
                <c:pt idx="7">
                  <c:v>0.83100741669724465</c:v>
                </c:pt>
                <c:pt idx="8">
                  <c:v>0.77121287374590242</c:v>
                </c:pt>
                <c:pt idx="9">
                  <c:v>0.82533742189053871</c:v>
                </c:pt>
                <c:pt idx="10">
                  <c:v>0.8256014012895746</c:v>
                </c:pt>
                <c:pt idx="11">
                  <c:v>0.81200000000000006</c:v>
                </c:pt>
              </c:numCache>
            </c:numRef>
          </c:val>
          <c:smooth val="0"/>
          <c:extLst>
            <c:ext xmlns:c16="http://schemas.microsoft.com/office/drawing/2014/chart" uri="{C3380CC4-5D6E-409C-BE32-E72D297353CC}">
              <c16:uniqueId val="{00000000-6A17-4392-900C-181BA6865779}"/>
            </c:ext>
          </c:extLst>
        </c:ser>
        <c:ser>
          <c:idx val="1"/>
          <c:order val="1"/>
          <c:tx>
            <c:strRef>
              <c:f>'Table 37'!$D$7</c:f>
              <c:strCache>
                <c:ptCount val="1"/>
                <c:pt idx="0">
                  <c:v>Motorcycles</c:v>
                </c:pt>
              </c:strCache>
            </c:strRef>
          </c:tx>
          <c:spPr>
            <a:ln w="28575" cap="rnd">
              <a:solidFill>
                <a:srgbClr val="FFC000"/>
              </a:solidFill>
              <a:round/>
            </a:ln>
            <a:effectLst/>
          </c:spPr>
          <c:marker>
            <c:symbol val="none"/>
          </c:marker>
          <c:cat>
            <c:strRef>
              <c:f>'Table 37'!$B$8:$B$19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37'!$D$8:$D$19</c:f>
              <c:numCache>
                <c:formatCode>0%</c:formatCode>
                <c:ptCount val="12"/>
                <c:pt idx="0">
                  <c:v>0.93654132452695482</c:v>
                </c:pt>
                <c:pt idx="1">
                  <c:v>0.93518732235506441</c:v>
                </c:pt>
                <c:pt idx="2">
                  <c:v>0.93340585620675431</c:v>
                </c:pt>
                <c:pt idx="3">
                  <c:v>0.93619592395150264</c:v>
                </c:pt>
                <c:pt idx="4">
                  <c:v>0.93274317824892028</c:v>
                </c:pt>
                <c:pt idx="5">
                  <c:v>0.92950832641500225</c:v>
                </c:pt>
                <c:pt idx="6">
                  <c:v>0.93216721698191329</c:v>
                </c:pt>
                <c:pt idx="7">
                  <c:v>0.89070063694267521</c:v>
                </c:pt>
                <c:pt idx="8">
                  <c:v>0.91521183142444118</c:v>
                </c:pt>
                <c:pt idx="9">
                  <c:v>0.93342104026687966</c:v>
                </c:pt>
                <c:pt idx="10">
                  <c:v>0.93779882096272571</c:v>
                </c:pt>
                <c:pt idx="11">
                  <c:v>0.94099999999999995</c:v>
                </c:pt>
              </c:numCache>
            </c:numRef>
          </c:val>
          <c:smooth val="0"/>
          <c:extLst>
            <c:ext xmlns:c16="http://schemas.microsoft.com/office/drawing/2014/chart" uri="{C3380CC4-5D6E-409C-BE32-E72D297353CC}">
              <c16:uniqueId val="{00000001-6A17-4392-900C-181BA6865779}"/>
            </c:ext>
          </c:extLst>
        </c:ser>
        <c:ser>
          <c:idx val="2"/>
          <c:order val="2"/>
          <c:tx>
            <c:strRef>
              <c:f>'Table 37'!$E$7</c:f>
              <c:strCache>
                <c:ptCount val="1"/>
                <c:pt idx="0">
                  <c:v>Light Goods</c:v>
                </c:pt>
              </c:strCache>
            </c:strRef>
          </c:tx>
          <c:spPr>
            <a:ln w="28575" cap="rnd">
              <a:solidFill>
                <a:srgbClr val="A5AFA5"/>
              </a:solidFill>
              <a:round/>
            </a:ln>
            <a:effectLst/>
          </c:spPr>
          <c:marker>
            <c:symbol val="none"/>
          </c:marker>
          <c:cat>
            <c:strRef>
              <c:f>'Table 37'!$B$8:$B$19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37'!$E$8:$E$19</c:f>
              <c:numCache>
                <c:formatCode>0%</c:formatCode>
                <c:ptCount val="12"/>
                <c:pt idx="0">
                  <c:v>0.73383147286821715</c:v>
                </c:pt>
                <c:pt idx="1">
                  <c:v>0.74419386974352697</c:v>
                </c:pt>
                <c:pt idx="2">
                  <c:v>0.74707168804546065</c:v>
                </c:pt>
                <c:pt idx="3">
                  <c:v>0.75806519702647168</c:v>
                </c:pt>
                <c:pt idx="4">
                  <c:v>0.76304899284291305</c:v>
                </c:pt>
                <c:pt idx="5">
                  <c:v>0.77767289575721943</c:v>
                </c:pt>
                <c:pt idx="6">
                  <c:v>0.78150652892972805</c:v>
                </c:pt>
                <c:pt idx="7">
                  <c:v>0.7805112543829883</c:v>
                </c:pt>
                <c:pt idx="8">
                  <c:v>0.73273694390715671</c:v>
                </c:pt>
                <c:pt idx="9">
                  <c:v>0.77626430952035941</c:v>
                </c:pt>
                <c:pt idx="10">
                  <c:v>0.77619526362823954</c:v>
                </c:pt>
                <c:pt idx="11">
                  <c:v>0.78100000000000003</c:v>
                </c:pt>
              </c:numCache>
            </c:numRef>
          </c:val>
          <c:smooth val="0"/>
          <c:extLst>
            <c:ext xmlns:c16="http://schemas.microsoft.com/office/drawing/2014/chart" uri="{C3380CC4-5D6E-409C-BE32-E72D297353CC}">
              <c16:uniqueId val="{00000002-6A17-4392-900C-181BA6865779}"/>
            </c:ext>
          </c:extLst>
        </c:ser>
        <c:ser>
          <c:idx val="3"/>
          <c:order val="3"/>
          <c:tx>
            <c:strRef>
              <c:f>'Table 37'!$F$7</c:f>
              <c:strCache>
                <c:ptCount val="1"/>
                <c:pt idx="0">
                  <c:v>Heavy Goods</c:v>
                </c:pt>
              </c:strCache>
            </c:strRef>
          </c:tx>
          <c:spPr>
            <a:ln w="28575" cap="rnd">
              <a:solidFill>
                <a:srgbClr val="A8E06C"/>
              </a:solidFill>
              <a:round/>
            </a:ln>
            <a:effectLst/>
          </c:spPr>
          <c:marker>
            <c:symbol val="none"/>
          </c:marker>
          <c:cat>
            <c:strRef>
              <c:f>'Table 37'!$B$8:$B$19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37'!$F$8:$F$19</c:f>
              <c:numCache>
                <c:formatCode>0%</c:formatCode>
                <c:ptCount val="12"/>
                <c:pt idx="0">
                  <c:v>0.7232548795461281</c:v>
                </c:pt>
                <c:pt idx="1">
                  <c:v>0.74943385042249966</c:v>
                </c:pt>
                <c:pt idx="2">
                  <c:v>0.75878232713599325</c:v>
                </c:pt>
                <c:pt idx="3">
                  <c:v>0.77098037219530091</c:v>
                </c:pt>
                <c:pt idx="4">
                  <c:v>0.76856703367875645</c:v>
                </c:pt>
                <c:pt idx="5">
                  <c:v>0.77781267080229588</c:v>
                </c:pt>
                <c:pt idx="6">
                  <c:v>0.79274120364094092</c:v>
                </c:pt>
                <c:pt idx="7">
                  <c:v>0.78546583850931673</c:v>
                </c:pt>
                <c:pt idx="8">
                  <c:v>0.79920625564855197</c:v>
                </c:pt>
                <c:pt idx="9">
                  <c:v>0.81947213140897857</c:v>
                </c:pt>
                <c:pt idx="10">
                  <c:v>0.82901344565041313</c:v>
                </c:pt>
                <c:pt idx="11">
                  <c:v>0.84299999999999997</c:v>
                </c:pt>
              </c:numCache>
            </c:numRef>
          </c:val>
          <c:smooth val="0"/>
          <c:extLst>
            <c:ext xmlns:c16="http://schemas.microsoft.com/office/drawing/2014/chart" uri="{C3380CC4-5D6E-409C-BE32-E72D297353CC}">
              <c16:uniqueId val="{00000003-6A17-4392-900C-181BA6865779}"/>
            </c:ext>
          </c:extLst>
        </c:ser>
        <c:ser>
          <c:idx val="4"/>
          <c:order val="4"/>
          <c:tx>
            <c:strRef>
              <c:f>'Table 37'!$G$7</c:f>
              <c:strCache>
                <c:ptCount val="1"/>
                <c:pt idx="0">
                  <c:v>Taxi</c:v>
                </c:pt>
              </c:strCache>
            </c:strRef>
          </c:tx>
          <c:spPr>
            <a:ln w="28575" cap="rnd">
              <a:solidFill>
                <a:srgbClr val="FF7CC8"/>
              </a:solidFill>
              <a:round/>
            </a:ln>
            <a:effectLst/>
          </c:spPr>
          <c:marker>
            <c:symbol val="none"/>
          </c:marker>
          <c:cat>
            <c:strRef>
              <c:f>'Table 37'!$B$8:$B$19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37'!$G$8:$G$19</c:f>
              <c:numCache>
                <c:formatCode>0%</c:formatCode>
                <c:ptCount val="12"/>
                <c:pt idx="0">
                  <c:v>0.83252121085157638</c:v>
                </c:pt>
                <c:pt idx="1">
                  <c:v>0.85151570073761851</c:v>
                </c:pt>
                <c:pt idx="2">
                  <c:v>0.83237134748791264</c:v>
                </c:pt>
                <c:pt idx="3">
                  <c:v>0.84316886865771057</c:v>
                </c:pt>
                <c:pt idx="4">
                  <c:v>0.82113899441340776</c:v>
                </c:pt>
                <c:pt idx="5">
                  <c:v>0.79684679184425755</c:v>
                </c:pt>
                <c:pt idx="6">
                  <c:v>0.82282310842744866</c:v>
                </c:pt>
                <c:pt idx="7">
                  <c:v>0.83136792452830188</c:v>
                </c:pt>
                <c:pt idx="8">
                  <c:v>0.80830579106193423</c:v>
                </c:pt>
                <c:pt idx="9">
                  <c:v>0.83127802690582964</c:v>
                </c:pt>
                <c:pt idx="10">
                  <c:v>0.82728393370771125</c:v>
                </c:pt>
                <c:pt idx="11">
                  <c:v>0.83799999999999997</c:v>
                </c:pt>
              </c:numCache>
            </c:numRef>
          </c:val>
          <c:smooth val="0"/>
          <c:extLst>
            <c:ext xmlns:c16="http://schemas.microsoft.com/office/drawing/2014/chart" uri="{C3380CC4-5D6E-409C-BE32-E72D297353CC}">
              <c16:uniqueId val="{00000004-6A17-4392-900C-181BA6865779}"/>
            </c:ext>
          </c:extLst>
        </c:ser>
        <c:dLbls>
          <c:showLegendKey val="0"/>
          <c:showVal val="0"/>
          <c:showCatName val="0"/>
          <c:showSerName val="0"/>
          <c:showPercent val="0"/>
          <c:showBubbleSize val="0"/>
        </c:dLbls>
        <c:smooth val="0"/>
        <c:axId val="1226798848"/>
        <c:axId val="1226795608"/>
      </c:lineChart>
      <c:catAx>
        <c:axId val="122679884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26795608"/>
        <c:crosses val="autoZero"/>
        <c:auto val="1"/>
        <c:lblAlgn val="ctr"/>
        <c:lblOffset val="100"/>
        <c:noMultiLvlLbl val="0"/>
      </c:catAx>
      <c:valAx>
        <c:axId val="1226795608"/>
        <c:scaling>
          <c:orientation val="minMax"/>
          <c:min val="0.5"/>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b="1"/>
                  <a:t>Pass Rate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267988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3063366866172E-2"/>
          <c:y val="3.5685320356853206E-2"/>
          <c:w val="0.91607251179506577"/>
          <c:h val="0.846217981876353"/>
        </c:manualLayout>
      </c:layout>
      <c:lineChart>
        <c:grouping val="standard"/>
        <c:varyColors val="0"/>
        <c:ser>
          <c:idx val="0"/>
          <c:order val="0"/>
          <c:tx>
            <c:strRef>
              <c:f>'Table 38'!$C$7</c:f>
              <c:strCache>
                <c:ptCount val="1"/>
                <c:pt idx="0">
                  <c:v>Files Referred to PPS</c:v>
                </c:pt>
              </c:strCache>
            </c:strRef>
          </c:tx>
          <c:spPr>
            <a:ln w="28575" cap="rnd">
              <a:solidFill>
                <a:srgbClr val="00006C"/>
              </a:solidFill>
              <a:round/>
            </a:ln>
            <a:effectLst/>
          </c:spPr>
          <c:marker>
            <c:symbol val="none"/>
          </c:marker>
          <c:cat>
            <c:strRef>
              <c:f>'Table 38'!$B$8:$B$19</c:f>
              <c:strCache>
                <c:ptCount val="12"/>
                <c:pt idx="0">
                  <c:v>2013/14</c:v>
                </c:pt>
                <c:pt idx="1">
                  <c:v>2014/15</c:v>
                </c:pt>
                <c:pt idx="2">
                  <c:v>2015/16</c:v>
                </c:pt>
                <c:pt idx="3">
                  <c:v>2016/17</c:v>
                </c:pt>
                <c:pt idx="4">
                  <c:v>2017/18</c:v>
                </c:pt>
                <c:pt idx="5">
                  <c:v>2018/19</c:v>
                </c:pt>
                <c:pt idx="6">
                  <c:v>2019/20</c:v>
                </c:pt>
                <c:pt idx="7">
                  <c:v>2020/21</c:v>
                </c:pt>
                <c:pt idx="8">
                  <c:v>2021/22</c:v>
                </c:pt>
                <c:pt idx="9">
                  <c:v>2022/23</c:v>
                </c:pt>
                <c:pt idx="10">
                  <c:v>2023/24</c:v>
                </c:pt>
                <c:pt idx="11">
                  <c:v>2024/25</c:v>
                </c:pt>
              </c:strCache>
            </c:strRef>
          </c:cat>
          <c:val>
            <c:numRef>
              <c:f>'Table 38'!$C$8:$C$19</c:f>
              <c:numCache>
                <c:formatCode>0</c:formatCode>
                <c:ptCount val="12"/>
                <c:pt idx="0">
                  <c:v>511</c:v>
                </c:pt>
                <c:pt idx="1">
                  <c:v>439</c:v>
                </c:pt>
                <c:pt idx="2">
                  <c:v>377</c:v>
                </c:pt>
                <c:pt idx="3">
                  <c:v>354</c:v>
                </c:pt>
                <c:pt idx="4">
                  <c:v>353</c:v>
                </c:pt>
                <c:pt idx="5">
                  <c:v>441</c:v>
                </c:pt>
                <c:pt idx="6">
                  <c:v>395</c:v>
                </c:pt>
                <c:pt idx="7">
                  <c:v>211</c:v>
                </c:pt>
                <c:pt idx="8">
                  <c:v>318</c:v>
                </c:pt>
                <c:pt idx="9">
                  <c:v>211</c:v>
                </c:pt>
                <c:pt idx="10">
                  <c:v>136</c:v>
                </c:pt>
                <c:pt idx="11">
                  <c:v>152</c:v>
                </c:pt>
              </c:numCache>
            </c:numRef>
          </c:val>
          <c:smooth val="0"/>
          <c:extLst>
            <c:ext xmlns:c16="http://schemas.microsoft.com/office/drawing/2014/chart" uri="{C3380CC4-5D6E-409C-BE32-E72D297353CC}">
              <c16:uniqueId val="{00000000-5E81-4CAA-9D05-9EA2E83D6798}"/>
            </c:ext>
          </c:extLst>
        </c:ser>
        <c:dLbls>
          <c:showLegendKey val="0"/>
          <c:showVal val="0"/>
          <c:showCatName val="0"/>
          <c:showSerName val="0"/>
          <c:showPercent val="0"/>
          <c:showBubbleSize val="0"/>
        </c:dLbls>
        <c:smooth val="0"/>
        <c:axId val="1169089352"/>
        <c:axId val="1169091872"/>
      </c:lineChart>
      <c:catAx>
        <c:axId val="1169089352"/>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69091872"/>
        <c:crosses val="autoZero"/>
        <c:auto val="1"/>
        <c:lblAlgn val="ctr"/>
        <c:lblOffset val="100"/>
        <c:noMultiLvlLbl val="0"/>
      </c:catAx>
      <c:valAx>
        <c:axId val="1169091872"/>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GB" b="1"/>
                  <a:t>Number</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69089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32.xml.rels><?xml version="1.0" encoding="UTF-8" standalone="yes"?>
<Relationships xmlns="http://schemas.openxmlformats.org/package/2006/relationships"><Relationship Id="rId2" Type="http://schemas.openxmlformats.org/officeDocument/2006/relationships/image" Target="../media/image65.png"/><Relationship Id="rId1" Type="http://schemas.openxmlformats.org/officeDocument/2006/relationships/image" Target="../media/image6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67.png"/><Relationship Id="rId1" Type="http://schemas.openxmlformats.org/officeDocument/2006/relationships/image" Target="../media/image6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8.png"/></Relationships>
</file>

<file path=xl/drawings/_rels/drawing35.xml.rels><?xml version="1.0" encoding="UTF-8" standalone="yes"?>
<Relationships xmlns="http://schemas.openxmlformats.org/package/2006/relationships"><Relationship Id="rId2" Type="http://schemas.openxmlformats.org/officeDocument/2006/relationships/image" Target="../media/image71.png"/><Relationship Id="rId1" Type="http://schemas.openxmlformats.org/officeDocument/2006/relationships/image" Target="../media/image70.png"/></Relationships>
</file>

<file path=xl/drawings/_rels/drawing36.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2.png"/></Relationships>
</file>

<file path=xl/drawings/_rels/drawing3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11</xdr:col>
      <xdr:colOff>13277</xdr:colOff>
      <xdr:row>72</xdr:row>
      <xdr:rowOff>28576</xdr:rowOff>
    </xdr:to>
    <xdr:pic>
      <xdr:nvPicPr>
        <xdr:cNvPr id="2" name="Picture 1" descr="Front cover">
          <a:extLst>
            <a:ext uri="{FF2B5EF4-FFF2-40B4-BE49-F238E27FC236}">
              <a16:creationId xmlns:a16="http://schemas.microsoft.com/office/drawing/2014/main" id="{267AD3A6-232D-CB80-DD93-B1039DDCF457}"/>
            </a:ext>
          </a:extLst>
        </xdr:cNvPr>
        <xdr:cNvPicPr>
          <a:picLocks noChangeAspect="1"/>
        </xdr:cNvPicPr>
      </xdr:nvPicPr>
      <xdr:blipFill>
        <a:blip xmlns:r="http://schemas.openxmlformats.org/officeDocument/2006/relationships" r:embed="rId1"/>
        <a:stretch>
          <a:fillRect/>
        </a:stretch>
      </xdr:blipFill>
      <xdr:spPr>
        <a:xfrm>
          <a:off x="1" y="2"/>
          <a:ext cx="9233476" cy="130587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motorcyclist KSIs per 100 million motorcycle kilometres, 2014-2024&#10;">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4000500"/>
    <xdr:pic>
      <xdr:nvPicPr>
        <xdr:cNvPr id="3" name="Picture 2" descr="&quot;Rate of motorcyclist KSIs per 100 million motorcycle kilometres &#10;(5 year rolling average), 2014-2024&quot;     &#10;">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7524750" y="6248400"/>
          <a:ext cx="7315200" cy="4000500"/>
        </a:xfrm>
        <a:prstGeom prst="rect">
          <a:avLst/>
        </a:prstGeom>
      </xdr:spPr>
    </xdr:pic>
    <xdr:clientData/>
  </xdr:oneCellAnchor>
  <xdr:oneCellAnchor>
    <xdr:from>
      <xdr:col>11</xdr:col>
      <xdr:colOff>0</xdr:colOff>
      <xdr:row>51</xdr:row>
      <xdr:rowOff>0</xdr:rowOff>
    </xdr:from>
    <xdr:ext cx="7315200" cy="4572000"/>
    <xdr:pic>
      <xdr:nvPicPr>
        <xdr:cNvPr id="4" name="Picture 3" descr="&quot;Rate of motorcyclist KSIs based on 95% confidence intervals of  &#10;100 million motorcycle kilometres, 2014-2024&quot;     &#10;">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11</xdr:col>
      <xdr:colOff>0</xdr:colOff>
      <xdr:row>74</xdr:row>
      <xdr:rowOff>0</xdr:rowOff>
    </xdr:from>
    <xdr:ext cx="7315200" cy="4572000"/>
    <xdr:pic>
      <xdr:nvPicPr>
        <xdr:cNvPr id="5" name="Picture 4" descr="&quot;Rate of motor cyclist KSIs based on 95% confidence intervals of  &#10;100 million motorcycle kilometres, (5 year rolling average), 2014-2024&quot;     &#10;">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car user KSIs per 100 million kilometres (cars and vans), 2014-2024&#10;">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4219575"/>
    <xdr:pic>
      <xdr:nvPicPr>
        <xdr:cNvPr id="3" name="Picture 2" descr="&quot;Rate of car user KSIs per 100 million kilometres (cars and vans) &#10;(5 year rolling average), 2014-2024&quot;     &#10;">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7429500" y="6629400"/>
          <a:ext cx="7315200" cy="4219575"/>
        </a:xfrm>
        <a:prstGeom prst="rect">
          <a:avLst/>
        </a:prstGeom>
      </xdr:spPr>
    </xdr:pic>
    <xdr:clientData/>
  </xdr:oneCellAnchor>
  <xdr:oneCellAnchor>
    <xdr:from>
      <xdr:col>11</xdr:col>
      <xdr:colOff>0</xdr:colOff>
      <xdr:row>51</xdr:row>
      <xdr:rowOff>0</xdr:rowOff>
    </xdr:from>
    <xdr:ext cx="7315200" cy="4572000"/>
    <xdr:pic>
      <xdr:nvPicPr>
        <xdr:cNvPr id="4" name="Picture 3" descr="&quot;Rate of car user KSIs based on 95% confidence intervals of  &#10;100 million vehicle kilometres (cars and vans), 2014-2024&quot;    &#10;">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fatal and serious collisions per 100 million vehicle kilometres, 2014-2024&#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3990975"/>
    <xdr:pic>
      <xdr:nvPicPr>
        <xdr:cNvPr id="3" name="Picture 2" descr="&quot;Rate of fatal and serious collisions per 100 million vehicle kilometres &#10;(5 year rolling average), 2014-2024&quot;     &#10;">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7429500" y="6238875"/>
          <a:ext cx="7315200" cy="3990975"/>
        </a:xfrm>
        <a:prstGeom prst="rect">
          <a:avLst/>
        </a:prstGeom>
      </xdr:spPr>
    </xdr:pic>
    <xdr:clientData/>
  </xdr:oneCellAnchor>
  <xdr:oneCellAnchor>
    <xdr:from>
      <xdr:col>11</xdr:col>
      <xdr:colOff>0</xdr:colOff>
      <xdr:row>51</xdr:row>
      <xdr:rowOff>0</xdr:rowOff>
    </xdr:from>
    <xdr:ext cx="7315200" cy="4572000"/>
    <xdr:pic>
      <xdr:nvPicPr>
        <xdr:cNvPr id="4" name="Picture 3" descr="&quot;Rate of fatal and serious based on 95% confidence intervals of  &#10;100 million vehicle kilometres, 2014-2024&quot;     &#10;">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quot;Rate of people aged over 70 killed or seriously injured in road collisions &#10;per 100,000 population aged over 70, 2014-2024&quot;      &#10;">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4572000"/>
    <xdr:pic>
      <xdr:nvPicPr>
        <xdr:cNvPr id="3" name="Picture 2" descr="&quot;Rate of people aged over 70 killed or seriously injured in road collisions per 100,000 population aged over 70 &#10;(5 year rolling average), 2014-2024&quot;        &#10;">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people killed in collisions on rural roads, 2014-2024&#10;">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people killed in collisions on rural roads &#10;(5 year rolling average), 2014-2024&quot;    &#10;">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children (0-15) killed in collisions on rural roads, 2014-2024&#10;">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children (0-15) killed in collisions on rural roads &#10;(5 year rolling average), 2014-2024&quot;    &#10;">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8</xdr:col>
      <xdr:colOff>0</xdr:colOff>
      <xdr:row>4</xdr:row>
      <xdr:rowOff>0</xdr:rowOff>
    </xdr:from>
    <xdr:ext cx="7315200" cy="4572000"/>
    <xdr:pic>
      <xdr:nvPicPr>
        <xdr:cNvPr id="2" name="Picture 1" descr="Number of people killed where alcohol/drugs causation factor was attributed, 2014-2024&#10;">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8</xdr:col>
      <xdr:colOff>0</xdr:colOff>
      <xdr:row>28</xdr:row>
      <xdr:rowOff>0</xdr:rowOff>
    </xdr:from>
    <xdr:ext cx="7315200" cy="4572000"/>
    <xdr:pic>
      <xdr:nvPicPr>
        <xdr:cNvPr id="3" name="Picture 2" descr="&quot;Number of people killed where alcohol/drugs causation factor was attributed &#10;(5 year rolling average), 2014-2024&quot;        &#10;">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car occupants killed who were not wearing a seatbelt, 2014-2024&#10;">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car occupants killed who were not wearing a seatbelt &#10;(5 year rolling average), 2014-2024&quot;      &#10;">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0</xdr:colOff>
      <xdr:row>4</xdr:row>
      <xdr:rowOff>0</xdr:rowOff>
    </xdr:from>
    <xdr:ext cx="7315200" cy="4572000"/>
    <xdr:pic>
      <xdr:nvPicPr>
        <xdr:cNvPr id="2" name="Picture 1" descr="&quot;Rate of pedestrians killed or seriously injured (KSIs) per 100,000 population in 10 per cent &#10;most deprived areas compared with 10 per cent least deprived (Collision SOA), 2014-2024&quot;        &#10;">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51</xdr:row>
      <xdr:rowOff>0</xdr:rowOff>
    </xdr:from>
    <xdr:ext cx="7315200" cy="4572000"/>
    <xdr:pic>
      <xdr:nvPicPr>
        <xdr:cNvPr id="3" name="Picture 2" descr="&quot;Rate of pedestrians killed or seriously injured (KSIs) per 100,000 population in &#10;10 per cent most deprived areas compared with 10 per cent least deprived (Collision SOA) &#10;(5 year rolling average), 2014-2024&quot;        &#10;">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0</xdr:colOff>
      <xdr:row>4</xdr:row>
      <xdr:rowOff>0</xdr:rowOff>
    </xdr:from>
    <xdr:ext cx="7315200" cy="4572000"/>
    <xdr:pic>
      <xdr:nvPicPr>
        <xdr:cNvPr id="2" name="Picture 1" descr="&quot;Rate of child pedestrians killed or seriously injured (KSIs) per 100,000 population in 10 per cent &#10;most deprived areas compared with 10 per cent least deprived (Collision SOA), 2014-2024&quot;        &#10;">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51</xdr:row>
      <xdr:rowOff>0</xdr:rowOff>
    </xdr:from>
    <xdr:ext cx="7315200" cy="4572000"/>
    <xdr:pic>
      <xdr:nvPicPr>
        <xdr:cNvPr id="3" name="Picture 2" descr="&quot;Rate of child pedestrians killed or seriously injured (KSIs) per 100,000 population in &#10;10 per cent most deprived areas compared with 10 per cent least deprived (Collision SOA) &#10;(5 year rolling average), 2014-2024&quot;        &#10;">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road traffic fatalities in Northern Ireland, 2014-2024&#1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28575</xdr:colOff>
      <xdr:row>28</xdr:row>
      <xdr:rowOff>0</xdr:rowOff>
    </xdr:from>
    <xdr:ext cx="7315200" cy="4572000"/>
    <xdr:pic>
      <xdr:nvPicPr>
        <xdr:cNvPr id="3" name="Picture 2" descr="&quot;Number of road traffic fatalities in Northern Ireland &#10;(5 year rolling average), 2014-2024&quot;    &#10;">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219825" y="5905500"/>
          <a:ext cx="7315200" cy="457200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9</xdr:col>
      <xdr:colOff>0</xdr:colOff>
      <xdr:row>4</xdr:row>
      <xdr:rowOff>0</xdr:rowOff>
    </xdr:from>
    <xdr:ext cx="7315200" cy="4572000"/>
    <xdr:pic>
      <xdr:nvPicPr>
        <xdr:cNvPr id="2" name="Picture 1" descr="&quot;Rate of pedestrians killed or seriously injured (KSIs) per 100,000 population in 10 per cent &#10;most deprived areas compared with 10 per cent least deprived (Casualty Address SOA), 2014-2024&quot;        &#10;">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51</xdr:row>
      <xdr:rowOff>0</xdr:rowOff>
    </xdr:from>
    <xdr:ext cx="7315200" cy="4572000"/>
    <xdr:pic>
      <xdr:nvPicPr>
        <xdr:cNvPr id="3" name="Picture 2" descr="&quot;Rate of pedestrians killed or seriously injured (KSIs) per 100,000 population in &#10;10 per cent most deprived areas compared with 10 per cent least deprived (Casualty Address SOA) &#10;(5 year rolling average), 2014-2024&quot;        &#10;">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9</xdr:col>
      <xdr:colOff>0</xdr:colOff>
      <xdr:row>4</xdr:row>
      <xdr:rowOff>0</xdr:rowOff>
    </xdr:from>
    <xdr:ext cx="7315200" cy="4572000"/>
    <xdr:pic>
      <xdr:nvPicPr>
        <xdr:cNvPr id="2" name="Picture 1" descr="&quot;Rate of child pedestrians killed or seriously injured (KSIs) per 100,000 population in 10 per cent &#10;most deprived areas compared with 10 per cent least deprived (Casualty Address SOA), 2014-2024&quot;        &#10;">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51</xdr:row>
      <xdr:rowOff>0</xdr:rowOff>
    </xdr:from>
    <xdr:ext cx="7315200" cy="4572000"/>
    <xdr:pic>
      <xdr:nvPicPr>
        <xdr:cNvPr id="3" name="Picture 2" descr="&quot;Rate of child pedestrians killed or seriously injured (KSIs) per 100,000 population in &#10;10 per cent most deprived areas compared with 10 per cent least deprived (Casualty Address SOA) &#10;(5 year rolling average), 2014-2024&quot;        &#10;">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KSIs resulting from collisions involving drivers under the age of 25, 2014-2024&#10;">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Number of KSIs resulting from collisions involving drivers under the age of 25 (5 year rolling average), 2014-2024    &#10;">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9</xdr:col>
      <xdr:colOff>595312</xdr:colOff>
      <xdr:row>5</xdr:row>
      <xdr:rowOff>104775</xdr:rowOff>
    </xdr:from>
    <xdr:to>
      <xdr:col>21</xdr:col>
      <xdr:colOff>304800</xdr:colOff>
      <xdr:row>28</xdr:row>
      <xdr:rowOff>0</xdr:rowOff>
    </xdr:to>
    <xdr:graphicFrame macro="">
      <xdr:nvGraphicFramePr>
        <xdr:cNvPr id="5" name="Chart 4" descr="&quot;Number of KSI casualties resulting from collisions involving a novice driver &#10;(3 year rolling average), 2014-2024&#10;&quot;         &#10;">
          <a:extLst>
            <a:ext uri="{FF2B5EF4-FFF2-40B4-BE49-F238E27FC236}">
              <a16:creationId xmlns:a16="http://schemas.microsoft.com/office/drawing/2014/main" id="{582F66FC-4880-9E8F-4FBF-0F56535E90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628650</xdr:colOff>
      <xdr:row>34</xdr:row>
      <xdr:rowOff>9525</xdr:rowOff>
    </xdr:from>
    <xdr:to>
      <xdr:col>21</xdr:col>
      <xdr:colOff>338138</xdr:colOff>
      <xdr:row>48</xdr:row>
      <xdr:rowOff>19050</xdr:rowOff>
    </xdr:to>
    <xdr:graphicFrame macro="">
      <xdr:nvGraphicFramePr>
        <xdr:cNvPr id="6" name="Chart 5" descr="&quot;Number of KSI casualties resulting from collisions where a novice driver was deemed responsible &#10;(3 year rolling average), 2014-2024&quot;         &#10;         &#10;">
          <a:extLst>
            <a:ext uri="{FF2B5EF4-FFF2-40B4-BE49-F238E27FC236}">
              <a16:creationId xmlns:a16="http://schemas.microsoft.com/office/drawing/2014/main" id="{A778E58F-A89E-4010-96F7-D763A71A9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214312</xdr:colOff>
      <xdr:row>4</xdr:row>
      <xdr:rowOff>28574</xdr:rowOff>
    </xdr:from>
    <xdr:to>
      <xdr:col>21</xdr:col>
      <xdr:colOff>400050</xdr:colOff>
      <xdr:row>23</xdr:row>
      <xdr:rowOff>171449</xdr:rowOff>
    </xdr:to>
    <xdr:graphicFrame macro="">
      <xdr:nvGraphicFramePr>
        <xdr:cNvPr id="5" name="Chart 4" descr="Chart 23: Percentage of vehicles exceeding the speed limit (24 hours), 2014-2023">
          <a:extLst>
            <a:ext uri="{FF2B5EF4-FFF2-40B4-BE49-F238E27FC236}">
              <a16:creationId xmlns:a16="http://schemas.microsoft.com/office/drawing/2014/main" id="{1E35C7DE-7E0A-7D25-1B20-CC341D1A6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133349</xdr:colOff>
      <xdr:row>31</xdr:row>
      <xdr:rowOff>19049</xdr:rowOff>
    </xdr:from>
    <xdr:to>
      <xdr:col>22</xdr:col>
      <xdr:colOff>161924</xdr:colOff>
      <xdr:row>52</xdr:row>
      <xdr:rowOff>9524</xdr:rowOff>
    </xdr:to>
    <xdr:graphicFrame macro="">
      <xdr:nvGraphicFramePr>
        <xdr:cNvPr id="6" name="Chart 5" descr="chart 23a: percentage of vehicles exceeding the speed limit (11pm-7am), 2014-2024">
          <a:extLst>
            <a:ext uri="{FF2B5EF4-FFF2-40B4-BE49-F238E27FC236}">
              <a16:creationId xmlns:a16="http://schemas.microsoft.com/office/drawing/2014/main" id="{BDAEE0C6-B34C-475C-A2B0-6CAC944AC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409575</xdr:colOff>
      <xdr:row>7</xdr:row>
      <xdr:rowOff>1</xdr:rowOff>
    </xdr:from>
    <xdr:to>
      <xdr:col>16</xdr:col>
      <xdr:colOff>461249</xdr:colOff>
      <xdr:row>31</xdr:row>
      <xdr:rowOff>47625</xdr:rowOff>
    </xdr:to>
    <xdr:pic>
      <xdr:nvPicPr>
        <xdr:cNvPr id="2" name="Picture 1" descr="Reasons why respondents feel unsafe when walking by the road, 2017-2019" title="Chart 24">
          <a:extLst>
            <a:ext uri="{FF2B5EF4-FFF2-40B4-BE49-F238E27FC236}">
              <a16:creationId xmlns:a16="http://schemas.microsoft.com/office/drawing/2014/main" id="{971C36EB-8A87-4DE6-A05C-01FAB6A5985C}"/>
            </a:ext>
          </a:extLst>
        </xdr:cNvPr>
        <xdr:cNvPicPr>
          <a:picLocks noChangeAspect="1"/>
        </xdr:cNvPicPr>
      </xdr:nvPicPr>
      <xdr:blipFill>
        <a:blip xmlns:r="http://schemas.openxmlformats.org/officeDocument/2006/relationships" r:embed="rId1"/>
        <a:stretch>
          <a:fillRect/>
        </a:stretch>
      </xdr:blipFill>
      <xdr:spPr>
        <a:xfrm>
          <a:off x="9058275" y="1295401"/>
          <a:ext cx="7157324" cy="439102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28575</xdr:colOff>
      <xdr:row>6</xdr:row>
      <xdr:rowOff>161925</xdr:rowOff>
    </xdr:from>
    <xdr:to>
      <xdr:col>17</xdr:col>
      <xdr:colOff>189213</xdr:colOff>
      <xdr:row>31</xdr:row>
      <xdr:rowOff>85725</xdr:rowOff>
    </xdr:to>
    <xdr:pic>
      <xdr:nvPicPr>
        <xdr:cNvPr id="4" name="Picture 3" descr="Reasons why respondents feel unsafe when cycling on the road, 2017-2019" title="Chart 25">
          <a:extLst>
            <a:ext uri="{FF2B5EF4-FFF2-40B4-BE49-F238E27FC236}">
              <a16:creationId xmlns:a16="http://schemas.microsoft.com/office/drawing/2014/main" id="{6FA27246-BA03-4C5A-98EA-1BBDBFEAE9A4}"/>
            </a:ext>
          </a:extLst>
        </xdr:cNvPr>
        <xdr:cNvPicPr>
          <a:picLocks noChangeAspect="1"/>
        </xdr:cNvPicPr>
      </xdr:nvPicPr>
      <xdr:blipFill>
        <a:blip xmlns:r="http://schemas.openxmlformats.org/officeDocument/2006/relationships" r:embed="rId1"/>
        <a:stretch>
          <a:fillRect/>
        </a:stretch>
      </xdr:blipFill>
      <xdr:spPr>
        <a:xfrm>
          <a:off x="9648825" y="1266825"/>
          <a:ext cx="7132938" cy="44481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KSIs resulting from collisions involving HGVs, 2014-2024&#10;">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resulting from collisions involving HGVs &#10;(5 year rolling average), 2014-2024&quot;    &#10;">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7</xdr:col>
      <xdr:colOff>0</xdr:colOff>
      <xdr:row>4</xdr:row>
      <xdr:rowOff>0</xdr:rowOff>
    </xdr:from>
    <xdr:ext cx="7315200" cy="4438650"/>
    <xdr:pic>
      <xdr:nvPicPr>
        <xdr:cNvPr id="2" name="Picture 1" descr="Number of KSIs resulting from collisions involving Vans, 2014-2024&#10;">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6286500" y="742950"/>
          <a:ext cx="7315200" cy="4438650"/>
        </a:xfrm>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resulting from collisions involving Vans &#10;(5 year rolling average), 2014-2024&quot;    &#10;">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KSIs resulting from collisions involving Buses, 2014-2024&#10;">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resulting from collisions involving Buses &#10;(5 year rolling average), 2014-2024&quot;    &#10;">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people seriously injured in road collisions in Northern Ireland, 2014-2024&#1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Number of people seriously injured in road collisions in Northern Ireland (5 year rolling average), 2014-2024    &#10;">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KSIs resulting from collisions involving Taxis, 2014-2024&#10;">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resulting from collisions involving HGVs &#10;(5 year rolling average), 2014-2024&quot;    &#10;">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7</xdr:col>
      <xdr:colOff>0</xdr:colOff>
      <xdr:row>4</xdr:row>
      <xdr:rowOff>0</xdr:rowOff>
    </xdr:from>
    <xdr:ext cx="7315200" cy="4238625"/>
    <xdr:pic>
      <xdr:nvPicPr>
        <xdr:cNvPr id="2" name="Picture 1" descr="Number of KSIs resulting from collisions involving car drivers aged 17 to 23, 2014-2024&#10;">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6286500" y="1009650"/>
          <a:ext cx="7315200" cy="4238625"/>
        </a:xfrm>
        <a:prstGeom prst="rect">
          <a:avLst/>
        </a:prstGeom>
      </xdr:spPr>
    </xdr:pic>
    <xdr:clientData/>
  </xdr:oneCellAnchor>
  <xdr:oneCellAnchor>
    <xdr:from>
      <xdr:col>7</xdr:col>
      <xdr:colOff>0</xdr:colOff>
      <xdr:row>28</xdr:row>
      <xdr:rowOff>0</xdr:rowOff>
    </xdr:from>
    <xdr:ext cx="7315200" cy="4572000"/>
    <xdr:pic>
      <xdr:nvPicPr>
        <xdr:cNvPr id="3" name="Picture 2" descr="Number of KSIs resulting from collisions involving car drivers aged 17 to 23 (5 year rolling average), 2014-2024    &#10;">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10</xdr:col>
      <xdr:colOff>0</xdr:colOff>
      <xdr:row>4</xdr:row>
      <xdr:rowOff>0</xdr:rowOff>
    </xdr:from>
    <xdr:ext cx="7315200" cy="4352925"/>
    <xdr:pic>
      <xdr:nvPicPr>
        <xdr:cNvPr id="2" name="Picture 1" descr="Percentage of passengers travelling with car driver aged 17-23 that were aged 14-20, 2014-2024&#10;">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9163050" y="742950"/>
          <a:ext cx="7315200" cy="4352925"/>
        </a:xfrm>
        <a:prstGeom prst="rect">
          <a:avLst/>
        </a:prstGeom>
      </xdr:spPr>
    </xdr:pic>
    <xdr:clientData/>
  </xdr:oneCellAnchor>
  <xdr:oneCellAnchor>
    <xdr:from>
      <xdr:col>10</xdr:col>
      <xdr:colOff>0</xdr:colOff>
      <xdr:row>28</xdr:row>
      <xdr:rowOff>0</xdr:rowOff>
    </xdr:from>
    <xdr:ext cx="7315200" cy="4572000"/>
    <xdr:pic>
      <xdr:nvPicPr>
        <xdr:cNvPr id="3" name="Picture 2" descr="&quot;Percentage of passengers travelling with car driver aged 17-23 that were aged 14-20 &#10;(5 year rolling average), 2014-2024&quot;      &#10;">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KSIs collisions involving car drivers aged 17 to 23 who were responsible for the collision where the principal causation factor was, 'Excessive speed having regard to conditions', 2014-2024        &#10;">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collisions involving car drivers aged 17 to 23 who were responsible for the collision where the principal causation factor was, 'Excessive speed having regard to conditions' &#10;(5 year rolling average), 2014-2024&quot;        &#10;">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7</xdr:col>
      <xdr:colOff>0</xdr:colOff>
      <xdr:row>4</xdr:row>
      <xdr:rowOff>0</xdr:rowOff>
    </xdr:from>
    <xdr:ext cx="7315200" cy="4419600"/>
    <xdr:pic>
      <xdr:nvPicPr>
        <xdr:cNvPr id="2" name="Picture 1" descr="Percentage of motorcyclists KSIs responsible for own injuries, 2014-2024&#10;">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7048500" y="742950"/>
          <a:ext cx="7315200" cy="4419600"/>
        </a:xfrm>
        <a:prstGeom prst="rect">
          <a:avLst/>
        </a:prstGeom>
      </xdr:spPr>
    </xdr:pic>
    <xdr:clientData/>
  </xdr:oneCellAnchor>
  <xdr:oneCellAnchor>
    <xdr:from>
      <xdr:col>7</xdr:col>
      <xdr:colOff>0</xdr:colOff>
      <xdr:row>27</xdr:row>
      <xdr:rowOff>0</xdr:rowOff>
    </xdr:from>
    <xdr:ext cx="7315200" cy="4572000"/>
    <xdr:pic>
      <xdr:nvPicPr>
        <xdr:cNvPr id="3" name="Picture 2" descr="Percentage of motorcyclists KSIs responsible for own injuries (5 year rolling average), 2014-2024        &#10;">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7</xdr:col>
      <xdr:colOff>0</xdr:colOff>
      <xdr:row>4</xdr:row>
      <xdr:rowOff>0</xdr:rowOff>
    </xdr:from>
    <xdr:ext cx="7315200" cy="4467225"/>
    <xdr:pic>
      <xdr:nvPicPr>
        <xdr:cNvPr id="2" name="Picture 1" descr="Number of KSIs by Road Type, 2014-2024&#10;">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6934200" y="742950"/>
          <a:ext cx="7315200" cy="4467225"/>
        </a:xfrm>
        <a:prstGeom prst="rect">
          <a:avLst/>
        </a:prstGeom>
      </xdr:spPr>
    </xdr:pic>
    <xdr:clientData/>
  </xdr:oneCellAnchor>
  <xdr:oneCellAnchor>
    <xdr:from>
      <xdr:col>7</xdr:col>
      <xdr:colOff>0</xdr:colOff>
      <xdr:row>28</xdr:row>
      <xdr:rowOff>0</xdr:rowOff>
    </xdr:from>
    <xdr:ext cx="7315200" cy="4572000"/>
    <xdr:pic>
      <xdr:nvPicPr>
        <xdr:cNvPr id="3" name="Picture 2" descr="&quot;Number of KSIs by Road Type &#10;(5 year rolling average), 2014-2024&quot;    &#10;">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9</xdr:col>
      <xdr:colOff>0</xdr:colOff>
      <xdr:row>4</xdr:row>
      <xdr:rowOff>0</xdr:rowOff>
    </xdr:from>
    <xdr:ext cx="7315200" cy="4572000"/>
    <xdr:pic>
      <xdr:nvPicPr>
        <xdr:cNvPr id="2" name="Picture 1" descr="Number of KSI casualties where a car driver was responsible and 'Inattention or attention diverted' was the causation factor, 2014-2024&#10;">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28</xdr:row>
      <xdr:rowOff>0</xdr:rowOff>
    </xdr:from>
    <xdr:ext cx="7315200" cy="4572000"/>
    <xdr:pic>
      <xdr:nvPicPr>
        <xdr:cNvPr id="3" name="Picture 2" descr="&quot;Number of KSI casualties where a car driver was responsible and 'Inattention or attention diverted' was the causation factor &#10;(5 year rolling average), 2014-2024&quot;         &#10;">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xdr:from>
      <xdr:col>9</xdr:col>
      <xdr:colOff>90486</xdr:colOff>
      <xdr:row>4</xdr:row>
      <xdr:rowOff>152400</xdr:rowOff>
    </xdr:from>
    <xdr:to>
      <xdr:col>19</xdr:col>
      <xdr:colOff>552449</xdr:colOff>
      <xdr:row>24</xdr:row>
      <xdr:rowOff>28575</xdr:rowOff>
    </xdr:to>
    <xdr:graphicFrame macro="">
      <xdr:nvGraphicFramePr>
        <xdr:cNvPr id="3" name="Chart 2" descr="Vehicle Test Pass Rates by Test Category - Full Tests      &#10;">
          <a:extLst>
            <a:ext uri="{FF2B5EF4-FFF2-40B4-BE49-F238E27FC236}">
              <a16:creationId xmlns:a16="http://schemas.microsoft.com/office/drawing/2014/main" id="{8E03BFE8-E3D9-28DB-2D79-9DDCD1A31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9523</xdr:colOff>
      <xdr:row>3</xdr:row>
      <xdr:rowOff>190499</xdr:rowOff>
    </xdr:from>
    <xdr:to>
      <xdr:col>22</xdr:col>
      <xdr:colOff>142874</xdr:colOff>
      <xdr:row>22</xdr:row>
      <xdr:rowOff>57149</xdr:rowOff>
    </xdr:to>
    <xdr:graphicFrame macro="">
      <xdr:nvGraphicFramePr>
        <xdr:cNvPr id="3" name="Chart 2" descr="Number of Files referred to PPS      &#10;">
          <a:extLst>
            <a:ext uri="{FF2B5EF4-FFF2-40B4-BE49-F238E27FC236}">
              <a16:creationId xmlns:a16="http://schemas.microsoft.com/office/drawing/2014/main" id="{BAEA36C7-2F0C-AB72-AA23-E3EE9715E5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children (0-15 years) killed or seriously injured (KSIs) in road traffic collisions, 2014-2024&#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Number of children (0-15 years) killed or seriously injured (KSIs) in road traffic collisions (5 year rolling average), 2014-2024     &#10;">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4</xdr:row>
      <xdr:rowOff>0</xdr:rowOff>
    </xdr:from>
    <xdr:ext cx="7315200" cy="4572000"/>
    <xdr:pic>
      <xdr:nvPicPr>
        <xdr:cNvPr id="2" name="Picture 1" descr="Number of young people (16-24 years) killed or seriously injured (KSIs) in road traffic collisions, 2014-2024&#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7</xdr:col>
      <xdr:colOff>0</xdr:colOff>
      <xdr:row>28</xdr:row>
      <xdr:rowOff>0</xdr:rowOff>
    </xdr:from>
    <xdr:ext cx="7315200" cy="4572000"/>
    <xdr:pic>
      <xdr:nvPicPr>
        <xdr:cNvPr id="3" name="Picture 2" descr="Number of young people (16-24 years) killed or seriously injured (KSIs) in road traffic collisions (5 year rolling average), 2014-2024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road deaths per 100 million vehicle kilometres, 2014-2024&#10;">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29</xdr:row>
      <xdr:rowOff>19050</xdr:rowOff>
    </xdr:from>
    <xdr:ext cx="7315200" cy="4162425"/>
    <xdr:pic>
      <xdr:nvPicPr>
        <xdr:cNvPr id="3" name="Picture 2" descr="&quot;Rate of road deaths per 100 million vehicle kilometres &#10;(5 year rolling average), 2014-2024&quot;    &#10;">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7429500" y="6076950"/>
          <a:ext cx="7315200" cy="4162425"/>
        </a:xfrm>
        <a:prstGeom prst="rect">
          <a:avLst/>
        </a:prstGeom>
      </xdr:spPr>
    </xdr:pic>
    <xdr:clientData/>
  </xdr:oneCellAnchor>
  <xdr:oneCellAnchor>
    <xdr:from>
      <xdr:col>11</xdr:col>
      <xdr:colOff>0</xdr:colOff>
      <xdr:row>51</xdr:row>
      <xdr:rowOff>0</xdr:rowOff>
    </xdr:from>
    <xdr:ext cx="7315200" cy="4572000"/>
    <xdr:pic>
      <xdr:nvPicPr>
        <xdr:cNvPr id="4" name="Picture 3" descr="&quot;Rate of road deaths based on 95% confidence intervals of  &#10;100 million vehicle kilometres, 2014-2024&quot;    &#10;">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10</xdr:col>
      <xdr:colOff>0</xdr:colOff>
      <xdr:row>4</xdr:row>
      <xdr:rowOff>0</xdr:rowOff>
    </xdr:from>
    <xdr:ext cx="7315200" cy="4572000"/>
    <xdr:pic>
      <xdr:nvPicPr>
        <xdr:cNvPr id="2" name="Picture 1" descr="Rate of road deaths per million population, 2014-2024&#10;">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28</xdr:row>
      <xdr:rowOff>0</xdr:rowOff>
    </xdr:from>
    <xdr:ext cx="7315200" cy="4572000"/>
    <xdr:pic>
      <xdr:nvPicPr>
        <xdr:cNvPr id="3" name="Picture 2" descr="Rate of road deaths per million population (5 year rolling average), 2014-2024    &#10;">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pedestrian KSIs per 100 million kilometres walked, 2014-2024&#10;">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4381500"/>
    <xdr:pic>
      <xdr:nvPicPr>
        <xdr:cNvPr id="3" name="Picture 2" descr="&quot;Rate of pedestrian KSIs per 100 million kilometres walked &#10;(5 year rolling average), 2014-2024&quot;    &#10;">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429500" y="6238875"/>
          <a:ext cx="7315200" cy="4381500"/>
        </a:xfrm>
        <a:prstGeom prst="rect">
          <a:avLst/>
        </a:prstGeom>
      </xdr:spPr>
    </xdr:pic>
    <xdr:clientData/>
  </xdr:oneCellAnchor>
  <xdr:oneCellAnchor>
    <xdr:from>
      <xdr:col>11</xdr:col>
      <xdr:colOff>0</xdr:colOff>
      <xdr:row>51</xdr:row>
      <xdr:rowOff>0</xdr:rowOff>
    </xdr:from>
    <xdr:ext cx="7315200" cy="4572000"/>
    <xdr:pic>
      <xdr:nvPicPr>
        <xdr:cNvPr id="4" name="Picture 3" descr="Rate of pedestrian KSIs based on 95% confidence intervals of 100 million vehicle walked, 2014-2024    &#10;">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0</xdr:colOff>
      <xdr:row>4</xdr:row>
      <xdr:rowOff>0</xdr:rowOff>
    </xdr:from>
    <xdr:ext cx="7315200" cy="4572000"/>
    <xdr:pic>
      <xdr:nvPicPr>
        <xdr:cNvPr id="2" name="Picture 1" descr="Rate of pedal cyclist KSIs per 100 million kilometres cycled, 2014-2024&#10;">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11</xdr:col>
      <xdr:colOff>0</xdr:colOff>
      <xdr:row>30</xdr:row>
      <xdr:rowOff>0</xdr:rowOff>
    </xdr:from>
    <xdr:ext cx="7315200" cy="4038600"/>
    <xdr:pic>
      <xdr:nvPicPr>
        <xdr:cNvPr id="3" name="Picture 2" descr="&quot;Rate of pedal cyclist KSIs per 100 million kilometres cycled &#10;(5 year rolling average), 2014-2024&quot;    &#10;">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7429500" y="6248400"/>
          <a:ext cx="7315200" cy="4038600"/>
        </a:xfrm>
        <a:prstGeom prst="rect">
          <a:avLst/>
        </a:prstGeom>
      </xdr:spPr>
    </xdr:pic>
    <xdr:clientData/>
  </xdr:oneCellAnchor>
  <xdr:oneCellAnchor>
    <xdr:from>
      <xdr:col>11</xdr:col>
      <xdr:colOff>0</xdr:colOff>
      <xdr:row>51</xdr:row>
      <xdr:rowOff>0</xdr:rowOff>
    </xdr:from>
    <xdr:ext cx="7315200" cy="4572000"/>
    <xdr:pic>
      <xdr:nvPicPr>
        <xdr:cNvPr id="4" name="Picture 3" descr="Rate of pedal cyclist KSIs based on 95% confidence intervals of 100 million kilometres cycled, 2014-2024    &#10;">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11</xdr:col>
      <xdr:colOff>0</xdr:colOff>
      <xdr:row>74</xdr:row>
      <xdr:rowOff>0</xdr:rowOff>
    </xdr:from>
    <xdr:ext cx="7315200" cy="4572000"/>
    <xdr:pic>
      <xdr:nvPicPr>
        <xdr:cNvPr id="5" name="Picture 4" descr="&quot;Rate of pedal cyclist KSIs based on 95% confidence intervals of  &#10;100 million kilometres cycled, (5 year rolling average), 2014-2024&quot;     &#10;">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3.xml.rels><?xml version="1.0" encoding="UTF-8" standalone="yes"?>
<Relationships xmlns="http://schemas.openxmlformats.org/package/2006/relationships"><Relationship Id="rId1" Type="http://schemas.openxmlformats.org/officeDocument/2006/relationships/hyperlink" Target="https://www.infrastructure-ni.gov.uk/publications/road-safety-strategy-northern-ireland-2030"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M28" sqref="M28"/>
    </sheetView>
  </sheetViews>
  <sheetFormatPr defaultColWidth="11" defaultRowHeight="14.25" x14ac:dyDescent="0.2"/>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50"/>
  <sheetViews>
    <sheetView showGridLines="0" workbookViewId="0"/>
  </sheetViews>
  <sheetFormatPr defaultColWidth="11" defaultRowHeight="14.25" x14ac:dyDescent="0.2"/>
  <cols>
    <col min="2" max="2" width="12.75" customWidth="1"/>
    <col min="4" max="4" width="0.75" hidden="1" customWidth="1"/>
    <col min="5" max="5" width="10.375" bestFit="1" customWidth="1"/>
    <col min="7" max="8" width="12.25" customWidth="1"/>
  </cols>
  <sheetData>
    <row r="1" spans="2:11" ht="15" x14ac:dyDescent="0.25">
      <c r="B1" s="6" t="s">
        <v>327</v>
      </c>
    </row>
    <row r="3" spans="2:11" x14ac:dyDescent="0.2">
      <c r="B3" t="s">
        <v>23</v>
      </c>
    </row>
    <row r="4" spans="2:11" ht="15" x14ac:dyDescent="0.25">
      <c r="B4" s="6" t="s">
        <v>24</v>
      </c>
      <c r="K4" s="6" t="s">
        <v>330</v>
      </c>
    </row>
    <row r="5" spans="2:11" x14ac:dyDescent="0.2">
      <c r="B5" t="s">
        <v>196</v>
      </c>
    </row>
    <row r="7" spans="2:11" ht="45" customHeight="1" thickBot="1" x14ac:dyDescent="0.3">
      <c r="B7" s="110" t="s">
        <v>197</v>
      </c>
      <c r="C7" s="111" t="s">
        <v>198</v>
      </c>
      <c r="D7" s="111" t="s">
        <v>328</v>
      </c>
      <c r="E7" s="111" t="s">
        <v>329</v>
      </c>
      <c r="F7" s="111" t="s">
        <v>310</v>
      </c>
      <c r="G7" s="111" t="s">
        <v>199</v>
      </c>
      <c r="H7" s="111" t="s">
        <v>311</v>
      </c>
    </row>
    <row r="8" spans="2:11" ht="15" thickTop="1" x14ac:dyDescent="0.2">
      <c r="B8" s="112">
        <v>2014</v>
      </c>
      <c r="C8" s="113">
        <v>79</v>
      </c>
      <c r="D8" s="113">
        <v>1843186</v>
      </c>
      <c r="E8" s="127">
        <v>1.843186</v>
      </c>
      <c r="F8" s="127">
        <v>42.860568602409103</v>
      </c>
      <c r="G8" s="118"/>
      <c r="H8" s="118"/>
    </row>
    <row r="9" spans="2:11" x14ac:dyDescent="0.2">
      <c r="B9" s="114">
        <v>2015</v>
      </c>
      <c r="C9" s="115">
        <v>74</v>
      </c>
      <c r="D9" s="115">
        <v>1854943</v>
      </c>
      <c r="E9" s="128">
        <v>1.854943</v>
      </c>
      <c r="F9" s="128">
        <v>39.893409123622703</v>
      </c>
      <c r="G9" s="119"/>
      <c r="H9" s="119">
        <v>-6.9228187481853498E-2</v>
      </c>
    </row>
    <row r="10" spans="2:11" x14ac:dyDescent="0.2">
      <c r="B10" s="116">
        <v>2016</v>
      </c>
      <c r="C10" s="117">
        <v>68</v>
      </c>
      <c r="D10" s="117">
        <v>1866042</v>
      </c>
      <c r="E10" s="129">
        <v>1.866042</v>
      </c>
      <c r="F10" s="129">
        <v>36.4407660706458</v>
      </c>
      <c r="G10" s="120"/>
      <c r="H10" s="120">
        <v>-8.6546703548893197E-2</v>
      </c>
    </row>
    <row r="11" spans="2:11" x14ac:dyDescent="0.2">
      <c r="B11" s="114">
        <v>2017</v>
      </c>
      <c r="C11" s="115">
        <v>63</v>
      </c>
      <c r="D11" s="115">
        <v>1875178</v>
      </c>
      <c r="E11" s="128">
        <v>1.875178</v>
      </c>
      <c r="F11" s="128">
        <v>33.596810542785803</v>
      </c>
      <c r="G11" s="119"/>
      <c r="H11" s="119">
        <v>-7.8043242075277894E-2</v>
      </c>
    </row>
    <row r="12" spans="2:11" x14ac:dyDescent="0.2">
      <c r="B12" s="116">
        <v>2018</v>
      </c>
      <c r="C12" s="117">
        <v>55</v>
      </c>
      <c r="D12" s="117">
        <v>1886259</v>
      </c>
      <c r="E12" s="129">
        <v>1.8862589999999999</v>
      </c>
      <c r="F12" s="129">
        <v>29.158243910300801</v>
      </c>
      <c r="G12" s="120"/>
      <c r="H12" s="120">
        <v>-0.13211273810746099</v>
      </c>
    </row>
    <row r="13" spans="2:11" x14ac:dyDescent="0.2">
      <c r="B13" s="114">
        <v>2019</v>
      </c>
      <c r="C13" s="115">
        <v>56</v>
      </c>
      <c r="D13" s="115">
        <v>1898519</v>
      </c>
      <c r="E13" s="128">
        <v>1.8985190000000001</v>
      </c>
      <c r="F13" s="128">
        <v>29.496676093312701</v>
      </c>
      <c r="G13" s="119">
        <v>-0.18857080370926799</v>
      </c>
      <c r="H13" s="119">
        <v>1.1606740929017799E-2</v>
      </c>
    </row>
    <row r="14" spans="2:11" x14ac:dyDescent="0.2">
      <c r="B14" s="116">
        <v>2020</v>
      </c>
      <c r="C14" s="117">
        <v>56</v>
      </c>
      <c r="D14" s="117">
        <v>1900523</v>
      </c>
      <c r="E14" s="129">
        <v>1.900523</v>
      </c>
      <c r="F14" s="129">
        <v>29.465573423736501</v>
      </c>
      <c r="G14" s="120">
        <v>-0.189426412459789</v>
      </c>
      <c r="H14" s="120">
        <v>-1.0544465918065E-3</v>
      </c>
    </row>
    <row r="15" spans="2:11" x14ac:dyDescent="0.2">
      <c r="B15" s="114">
        <v>2021</v>
      </c>
      <c r="C15" s="115">
        <v>50</v>
      </c>
      <c r="D15" s="115">
        <v>1904564</v>
      </c>
      <c r="E15" s="128">
        <v>1.9045639999999999</v>
      </c>
      <c r="F15" s="128">
        <v>26.2527276584037</v>
      </c>
      <c r="G15" s="119">
        <v>-0.27780914578617599</v>
      </c>
      <c r="H15" s="119">
        <v>-0.109037272722636</v>
      </c>
    </row>
    <row r="16" spans="2:11" x14ac:dyDescent="0.2">
      <c r="B16" s="116">
        <v>2022</v>
      </c>
      <c r="C16" s="117">
        <v>55</v>
      </c>
      <c r="D16" s="117">
        <v>1910543</v>
      </c>
      <c r="E16" s="129">
        <v>1.9105430000000001</v>
      </c>
      <c r="F16" s="129">
        <v>28.787627391793901</v>
      </c>
      <c r="G16" s="120">
        <v>-0.20807614784310699</v>
      </c>
      <c r="H16" s="120">
        <v>9.6557575516489205E-2</v>
      </c>
    </row>
    <row r="17" spans="2:15" x14ac:dyDescent="0.2">
      <c r="B17" s="114">
        <v>2023</v>
      </c>
      <c r="C17" s="115">
        <v>71</v>
      </c>
      <c r="D17" s="115">
        <v>1920382</v>
      </c>
      <c r="E17" s="128">
        <v>1.920382</v>
      </c>
      <c r="F17" s="128">
        <v>36.971810816806197</v>
      </c>
      <c r="G17" s="119">
        <v>1.7063978381464399E-2</v>
      </c>
      <c r="H17" s="119">
        <v>0.28429517006133498</v>
      </c>
    </row>
    <row r="18" spans="2:15" x14ac:dyDescent="0.2">
      <c r="B18" s="116">
        <v>2024</v>
      </c>
      <c r="C18" s="117">
        <v>69</v>
      </c>
      <c r="D18" s="117">
        <v>1920382</v>
      </c>
      <c r="E18" s="129">
        <v>1.920382</v>
      </c>
      <c r="F18" s="129">
        <v>35.930351357177898</v>
      </c>
      <c r="G18" s="120">
        <v>-1.1585711150408001E-2</v>
      </c>
      <c r="H18" s="120">
        <v>-2.8169014084507199E-2</v>
      </c>
    </row>
    <row r="19" spans="2:15" ht="30" customHeight="1" x14ac:dyDescent="0.25">
      <c r="B19" s="121" t="s">
        <v>202</v>
      </c>
      <c r="C19" s="122">
        <v>67.8</v>
      </c>
      <c r="D19" s="122">
        <v>1865122</v>
      </c>
      <c r="E19" s="130">
        <v>1.8651219999999999</v>
      </c>
      <c r="F19" s="130">
        <v>36.351509445494699</v>
      </c>
      <c r="G19" s="123"/>
      <c r="H19" s="14"/>
    </row>
    <row r="21" spans="2:15" x14ac:dyDescent="0.2">
      <c r="B21" s="9" t="s">
        <v>203</v>
      </c>
    </row>
    <row r="23" spans="2:15" x14ac:dyDescent="0.2">
      <c r="B23" s="1" t="str">
        <f>HYPERLINK("#'Contents'!A1", "Return to Contents Page")</f>
        <v>Return to Contents Page</v>
      </c>
    </row>
    <row r="26" spans="2:15" ht="15" x14ac:dyDescent="0.25">
      <c r="B26" s="6" t="s">
        <v>25</v>
      </c>
    </row>
    <row r="27" spans="2:15" ht="30" customHeight="1" x14ac:dyDescent="0.25">
      <c r="B27" s="222" t="s">
        <v>331</v>
      </c>
      <c r="C27" s="223"/>
      <c r="D27" s="223"/>
      <c r="E27" s="223"/>
      <c r="F27" s="223"/>
      <c r="G27" s="223"/>
      <c r="K27" s="222" t="s">
        <v>332</v>
      </c>
      <c r="L27" s="223"/>
      <c r="M27" s="223"/>
      <c r="N27" s="223"/>
      <c r="O27" s="223"/>
    </row>
    <row r="28" spans="2:15" ht="15" x14ac:dyDescent="0.25">
      <c r="B28" s="6" t="s">
        <v>196</v>
      </c>
    </row>
    <row r="30" spans="2:15" ht="45" customHeight="1" thickBot="1" x14ac:dyDescent="0.3">
      <c r="B30" s="110" t="s">
        <v>197</v>
      </c>
      <c r="C30" s="111" t="s">
        <v>198</v>
      </c>
      <c r="D30" s="111" t="s">
        <v>328</v>
      </c>
      <c r="E30" s="111" t="s">
        <v>329</v>
      </c>
      <c r="F30" s="111" t="s">
        <v>310</v>
      </c>
      <c r="G30" s="111" t="s">
        <v>199</v>
      </c>
      <c r="H30" s="111" t="s">
        <v>311</v>
      </c>
    </row>
    <row r="31" spans="2:15" ht="15" thickTop="1" x14ac:dyDescent="0.2">
      <c r="B31" s="124" t="s">
        <v>207</v>
      </c>
      <c r="C31" s="113">
        <v>67.8</v>
      </c>
      <c r="D31" s="113">
        <v>1865122</v>
      </c>
      <c r="E31" s="127">
        <v>1.8651219999999999</v>
      </c>
      <c r="F31" s="127">
        <v>36.351509445494699</v>
      </c>
      <c r="G31" s="118"/>
      <c r="H31" s="118"/>
    </row>
    <row r="32" spans="2:15" x14ac:dyDescent="0.2">
      <c r="B32" s="125" t="s">
        <v>208</v>
      </c>
      <c r="C32" s="115">
        <v>63.2</v>
      </c>
      <c r="D32" s="115">
        <v>1876188</v>
      </c>
      <c r="E32" s="128">
        <v>1.876188</v>
      </c>
      <c r="F32" s="128">
        <v>33.685323645604797</v>
      </c>
      <c r="G32" s="119">
        <v>-7.3344569195608694E-2</v>
      </c>
      <c r="H32" s="119">
        <v>-7.3344569195608694E-2</v>
      </c>
    </row>
    <row r="33" spans="2:8" x14ac:dyDescent="0.2">
      <c r="B33" s="126" t="s">
        <v>209</v>
      </c>
      <c r="C33" s="117">
        <v>59.6</v>
      </c>
      <c r="D33" s="117">
        <v>1885304</v>
      </c>
      <c r="E33" s="129">
        <v>1.8853040000000001</v>
      </c>
      <c r="F33" s="129">
        <v>31.612938815172502</v>
      </c>
      <c r="G33" s="120">
        <v>-0.13035416417651599</v>
      </c>
      <c r="H33" s="120">
        <v>-6.1521891617707498E-2</v>
      </c>
    </row>
    <row r="34" spans="2:8" x14ac:dyDescent="0.2">
      <c r="B34" s="125" t="s">
        <v>210</v>
      </c>
      <c r="C34" s="115">
        <v>56</v>
      </c>
      <c r="D34" s="115">
        <v>1893008</v>
      </c>
      <c r="E34" s="128">
        <v>1.893008</v>
      </c>
      <c r="F34" s="128">
        <v>29.5825479871189</v>
      </c>
      <c r="G34" s="119">
        <v>-0.18620853883729799</v>
      </c>
      <c r="H34" s="119">
        <v>-6.4226576337126806E-2</v>
      </c>
    </row>
    <row r="35" spans="2:8" x14ac:dyDescent="0.2">
      <c r="B35" s="126" t="s">
        <v>211</v>
      </c>
      <c r="C35" s="117">
        <v>54.4</v>
      </c>
      <c r="D35" s="117">
        <v>1900081</v>
      </c>
      <c r="E35" s="129">
        <v>1.9000809999999999</v>
      </c>
      <c r="F35" s="129">
        <v>28.630358389984401</v>
      </c>
      <c r="G35" s="120">
        <v>-0.21240248818518401</v>
      </c>
      <c r="H35" s="120">
        <v>-3.21875450873636E-2</v>
      </c>
    </row>
    <row r="36" spans="2:8" x14ac:dyDescent="0.2">
      <c r="B36" s="125" t="s">
        <v>212</v>
      </c>
      <c r="C36" s="115">
        <v>57.6</v>
      </c>
      <c r="D36" s="115">
        <v>1904938</v>
      </c>
      <c r="E36" s="128">
        <v>1.904938</v>
      </c>
      <c r="F36" s="128">
        <v>30.237204570437498</v>
      </c>
      <c r="G36" s="119">
        <v>-0.16819947694950699</v>
      </c>
      <c r="H36" s="119">
        <v>5.6123858408113701E-2</v>
      </c>
    </row>
    <row r="37" spans="2:8" x14ac:dyDescent="0.2">
      <c r="B37" s="126" t="s">
        <v>213</v>
      </c>
      <c r="C37" s="117">
        <v>60.2</v>
      </c>
      <c r="D37" s="117">
        <v>1911279</v>
      </c>
      <c r="E37" s="129">
        <v>1.911279</v>
      </c>
      <c r="F37" s="129">
        <v>31.497233004705201</v>
      </c>
      <c r="G37" s="120">
        <v>-0.13353713545425</v>
      </c>
      <c r="H37" s="120">
        <v>4.1671459123562002E-2</v>
      </c>
    </row>
    <row r="38" spans="2:8" ht="30" x14ac:dyDescent="0.25">
      <c r="B38" s="121" t="s">
        <v>222</v>
      </c>
      <c r="C38" s="122">
        <v>67.8</v>
      </c>
      <c r="D38" s="122">
        <v>1865122</v>
      </c>
      <c r="E38" s="130">
        <v>1.8651219999999999</v>
      </c>
      <c r="F38" s="130">
        <v>36.351509445494699</v>
      </c>
      <c r="G38" s="123"/>
      <c r="H38" s="14"/>
    </row>
    <row r="39" spans="2:8" x14ac:dyDescent="0.2">
      <c r="C39" s="7"/>
      <c r="D39" s="7"/>
      <c r="E39" s="21"/>
      <c r="F39" s="21"/>
      <c r="G39" s="8"/>
      <c r="H39" s="8"/>
    </row>
    <row r="40" spans="2:8" x14ac:dyDescent="0.2">
      <c r="B40" s="9" t="s">
        <v>203</v>
      </c>
      <c r="C40" s="7"/>
      <c r="D40" s="7"/>
      <c r="E40" s="21"/>
      <c r="F40" s="21"/>
      <c r="G40" s="8"/>
      <c r="H40" s="8"/>
    </row>
    <row r="41" spans="2:8" x14ac:dyDescent="0.2">
      <c r="C41" s="7"/>
      <c r="D41" s="7"/>
      <c r="E41" s="21"/>
      <c r="F41" s="21"/>
      <c r="G41" s="8"/>
      <c r="H41" s="8"/>
    </row>
    <row r="42" spans="2:8" x14ac:dyDescent="0.2">
      <c r="C42" s="7"/>
      <c r="D42" s="7"/>
      <c r="E42" s="21"/>
      <c r="F42" s="21"/>
      <c r="G42" s="8"/>
      <c r="H42" s="8"/>
    </row>
    <row r="43" spans="2:8" x14ac:dyDescent="0.2">
      <c r="C43" s="7"/>
      <c r="D43" s="7"/>
      <c r="E43" s="21"/>
      <c r="F43" s="21"/>
      <c r="G43" s="8"/>
      <c r="H43" s="8"/>
    </row>
    <row r="44" spans="2:8" x14ac:dyDescent="0.2">
      <c r="B44" s="1" t="str">
        <f>HYPERLINK("#'Contents'!A1", "Return to Contents Page")</f>
        <v>Return to Contents Page</v>
      </c>
      <c r="C44" s="7"/>
      <c r="D44" s="7"/>
      <c r="E44" s="21"/>
      <c r="F44" s="21"/>
      <c r="G44" s="8"/>
      <c r="H44" s="8"/>
    </row>
    <row r="45" spans="2:8" x14ac:dyDescent="0.2">
      <c r="C45" s="7"/>
      <c r="D45" s="7"/>
      <c r="E45" s="21"/>
      <c r="F45" s="21"/>
      <c r="G45" s="8"/>
      <c r="H45" s="8"/>
    </row>
    <row r="46" spans="2:8" x14ac:dyDescent="0.2">
      <c r="C46" s="7"/>
      <c r="D46" s="7"/>
      <c r="E46" s="21"/>
      <c r="F46" s="21"/>
      <c r="G46" s="8"/>
      <c r="H46" s="8"/>
    </row>
    <row r="47" spans="2:8" x14ac:dyDescent="0.2">
      <c r="C47" s="7"/>
      <c r="D47" s="7"/>
      <c r="E47" s="21"/>
      <c r="F47" s="21"/>
      <c r="G47" s="8"/>
      <c r="H47" s="8"/>
    </row>
    <row r="48" spans="2:8" x14ac:dyDescent="0.2">
      <c r="C48" s="7"/>
      <c r="D48" s="7"/>
      <c r="E48" s="21"/>
      <c r="F48" s="21"/>
      <c r="G48" s="8"/>
      <c r="H48" s="8"/>
    </row>
    <row r="49" spans="3:8" x14ac:dyDescent="0.2">
      <c r="C49" s="7"/>
      <c r="D49" s="7"/>
      <c r="E49" s="21"/>
      <c r="F49" s="21"/>
      <c r="G49" s="8"/>
      <c r="H49" s="8"/>
    </row>
    <row r="50" spans="3:8" x14ac:dyDescent="0.2">
      <c r="C50" s="7"/>
      <c r="D50" s="7"/>
      <c r="E50" s="21"/>
      <c r="F50" s="21"/>
      <c r="G50" s="8"/>
      <c r="H50" s="8"/>
    </row>
  </sheetData>
  <mergeCells count="2">
    <mergeCell ref="B27:G27"/>
    <mergeCell ref="K27:O27"/>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71"/>
  <sheetViews>
    <sheetView showGridLines="0" workbookViewId="0"/>
  </sheetViews>
  <sheetFormatPr defaultColWidth="11" defaultRowHeight="14.25" x14ac:dyDescent="0.2"/>
  <cols>
    <col min="2" max="2" width="12.75" customWidth="1"/>
    <col min="4" max="6" width="0.75" hidden="1" customWidth="1"/>
    <col min="7" max="7" width="13.5" customWidth="1"/>
    <col min="9" max="11" width="12.75" customWidth="1"/>
  </cols>
  <sheetData>
    <row r="1" spans="2:12" ht="15" x14ac:dyDescent="0.25">
      <c r="B1" s="6" t="s">
        <v>333</v>
      </c>
    </row>
    <row r="3" spans="2:12" x14ac:dyDescent="0.2">
      <c r="B3" t="s">
        <v>27</v>
      </c>
    </row>
    <row r="4" spans="2:12" ht="15" x14ac:dyDescent="0.25">
      <c r="B4" s="6" t="s">
        <v>28</v>
      </c>
      <c r="L4" s="6" t="s">
        <v>337</v>
      </c>
    </row>
    <row r="5" spans="2:12" x14ac:dyDescent="0.2">
      <c r="B5" t="s">
        <v>196</v>
      </c>
    </row>
    <row r="7" spans="2:12" ht="45" customHeight="1" thickBot="1" x14ac:dyDescent="0.3">
      <c r="B7" s="110" t="s">
        <v>197</v>
      </c>
      <c r="C7" s="111" t="s">
        <v>334</v>
      </c>
      <c r="D7" s="111" t="s">
        <v>335</v>
      </c>
      <c r="E7" s="111" t="s">
        <v>307</v>
      </c>
      <c r="F7" s="111" t="s">
        <v>308</v>
      </c>
      <c r="G7" s="111" t="s">
        <v>336</v>
      </c>
      <c r="H7" s="111" t="s">
        <v>310</v>
      </c>
      <c r="I7" s="111" t="s">
        <v>199</v>
      </c>
      <c r="J7" s="111" t="s">
        <v>311</v>
      </c>
    </row>
    <row r="8" spans="2:12" ht="15" thickTop="1" x14ac:dyDescent="0.2">
      <c r="B8" s="112">
        <v>2014</v>
      </c>
      <c r="C8" s="113">
        <v>158</v>
      </c>
      <c r="D8" s="113">
        <v>164</v>
      </c>
      <c r="E8" s="113">
        <v>263.87599999999998</v>
      </c>
      <c r="F8" s="113">
        <v>1843186</v>
      </c>
      <c r="G8" s="127">
        <v>4.8637254893600002</v>
      </c>
      <c r="H8" s="127">
        <v>32.485386016469199</v>
      </c>
      <c r="I8" s="118"/>
      <c r="J8" s="118"/>
    </row>
    <row r="9" spans="2:12" x14ac:dyDescent="0.2">
      <c r="B9" s="114">
        <v>2015</v>
      </c>
      <c r="C9" s="115">
        <v>183</v>
      </c>
      <c r="D9" s="115">
        <v>162</v>
      </c>
      <c r="E9" s="115">
        <v>260.65800000000002</v>
      </c>
      <c r="F9" s="115">
        <v>1854943</v>
      </c>
      <c r="G9" s="128">
        <v>4.8350573249400002</v>
      </c>
      <c r="H9" s="128">
        <v>37.848568838275497</v>
      </c>
      <c r="I9" s="119"/>
      <c r="J9" s="119">
        <v>0.165095246800743</v>
      </c>
    </row>
    <row r="10" spans="2:12" x14ac:dyDescent="0.2">
      <c r="B10" s="116">
        <v>2016</v>
      </c>
      <c r="C10" s="117">
        <v>179</v>
      </c>
      <c r="D10" s="117">
        <v>167</v>
      </c>
      <c r="E10" s="117">
        <v>268.70299999999997</v>
      </c>
      <c r="F10" s="117">
        <v>1866042</v>
      </c>
      <c r="G10" s="129">
        <v>5.0141108352600003</v>
      </c>
      <c r="H10" s="129">
        <v>35.699250750750203</v>
      </c>
      <c r="I10" s="120"/>
      <c r="J10" s="120">
        <v>-5.6787301435604898E-2</v>
      </c>
    </row>
    <row r="11" spans="2:12" x14ac:dyDescent="0.2">
      <c r="B11" s="114">
        <v>2017</v>
      </c>
      <c r="C11" s="115">
        <v>190</v>
      </c>
      <c r="D11" s="115">
        <v>166</v>
      </c>
      <c r="E11" s="115">
        <v>267.09399999999999</v>
      </c>
      <c r="F11" s="115">
        <v>1875178</v>
      </c>
      <c r="G11" s="128">
        <v>5.00848792732</v>
      </c>
      <c r="H11" s="128">
        <v>37.935601075046897</v>
      </c>
      <c r="I11" s="119"/>
      <c r="J11" s="119">
        <v>6.2644180963650903E-2</v>
      </c>
    </row>
    <row r="12" spans="2:12" x14ac:dyDescent="0.2">
      <c r="B12" s="116">
        <v>2018</v>
      </c>
      <c r="C12" s="117">
        <v>151</v>
      </c>
      <c r="D12" s="117">
        <v>165</v>
      </c>
      <c r="E12" s="117">
        <v>265.48500000000001</v>
      </c>
      <c r="F12" s="117">
        <v>1886259</v>
      </c>
      <c r="G12" s="129">
        <v>5.0077347061499999</v>
      </c>
      <c r="H12" s="129">
        <v>30.153354532650599</v>
      </c>
      <c r="I12" s="120"/>
      <c r="J12" s="120">
        <v>-0.205143620289576</v>
      </c>
    </row>
    <row r="13" spans="2:12" x14ac:dyDescent="0.2">
      <c r="B13" s="114">
        <v>2019</v>
      </c>
      <c r="C13" s="115">
        <v>176</v>
      </c>
      <c r="D13" s="115">
        <v>169</v>
      </c>
      <c r="E13" s="115">
        <v>271.92099999999999</v>
      </c>
      <c r="F13" s="115">
        <v>1898519</v>
      </c>
      <c r="G13" s="128">
        <v>5.1624718499900002</v>
      </c>
      <c r="H13" s="128">
        <v>34.092195582691801</v>
      </c>
      <c r="I13" s="119">
        <v>-7.7946047801081804E-3</v>
      </c>
      <c r="J13" s="119">
        <v>0.13062696045231501</v>
      </c>
    </row>
    <row r="14" spans="2:12" x14ac:dyDescent="0.2">
      <c r="B14" s="116">
        <v>2020</v>
      </c>
      <c r="C14" s="117">
        <v>124</v>
      </c>
      <c r="D14" s="117">
        <v>169</v>
      </c>
      <c r="E14" s="117">
        <v>271.92099999999999</v>
      </c>
      <c r="F14" s="117">
        <v>1900523</v>
      </c>
      <c r="G14" s="129">
        <v>5.1679211468300004</v>
      </c>
      <c r="H14" s="129">
        <v>23.994174151837001</v>
      </c>
      <c r="I14" s="120">
        <v>-0.30168331372049001</v>
      </c>
      <c r="J14" s="120">
        <v>-0.29619745100786399</v>
      </c>
    </row>
    <row r="15" spans="2:12" x14ac:dyDescent="0.2">
      <c r="B15" s="114">
        <v>2021</v>
      </c>
      <c r="C15" s="115">
        <v>156</v>
      </c>
      <c r="D15" s="115">
        <v>169</v>
      </c>
      <c r="E15" s="115">
        <v>271.92099999999999</v>
      </c>
      <c r="F15" s="115">
        <v>1904564</v>
      </c>
      <c r="G15" s="128">
        <v>5.1789094744400002</v>
      </c>
      <c r="H15" s="128">
        <v>30.1221716212501</v>
      </c>
      <c r="I15" s="119">
        <v>-0.12333656757743899</v>
      </c>
      <c r="J15" s="119">
        <v>0.25539522346694399</v>
      </c>
    </row>
    <row r="16" spans="2:12" x14ac:dyDescent="0.2">
      <c r="B16" s="116">
        <v>2022</v>
      </c>
      <c r="C16" s="117">
        <v>184</v>
      </c>
      <c r="D16" s="117">
        <v>169</v>
      </c>
      <c r="E16" s="117">
        <v>271.92099999999999</v>
      </c>
      <c r="F16" s="117">
        <v>1910543</v>
      </c>
      <c r="G16" s="129">
        <v>5.1951676310300003</v>
      </c>
      <c r="H16" s="129">
        <v>35.417528955368901</v>
      </c>
      <c r="I16" s="120">
        <v>3.0777358695976299E-2</v>
      </c>
      <c r="J16" s="120">
        <v>0.17579600171931301</v>
      </c>
    </row>
    <row r="17" spans="2:16" x14ac:dyDescent="0.2">
      <c r="B17" s="114">
        <v>2023</v>
      </c>
      <c r="C17" s="115">
        <v>191</v>
      </c>
      <c r="D17" s="115">
        <v>169</v>
      </c>
      <c r="E17" s="115">
        <v>271.92099999999999</v>
      </c>
      <c r="F17" s="115">
        <v>1920382</v>
      </c>
      <c r="G17" s="128">
        <v>5.2219219382200004</v>
      </c>
      <c r="H17" s="128">
        <v>36.576571281551203</v>
      </c>
      <c r="I17" s="119">
        <v>6.45096551840975E-2</v>
      </c>
      <c r="J17" s="119">
        <v>3.2725104217263302E-2</v>
      </c>
    </row>
    <row r="18" spans="2:16" x14ac:dyDescent="0.2">
      <c r="B18" s="116">
        <v>2024</v>
      </c>
      <c r="C18" s="117">
        <v>150</v>
      </c>
      <c r="D18" s="117">
        <v>169</v>
      </c>
      <c r="E18" s="117">
        <v>271.92099999999999</v>
      </c>
      <c r="F18" s="117">
        <v>1920382</v>
      </c>
      <c r="G18" s="129">
        <v>5.2219219382200004</v>
      </c>
      <c r="H18" s="129">
        <v>28.725055980275801</v>
      </c>
      <c r="I18" s="120">
        <v>-0.16399765299678201</v>
      </c>
      <c r="J18" s="120">
        <v>-0.21465968586387399</v>
      </c>
    </row>
    <row r="19" spans="2:16" ht="30" customHeight="1" x14ac:dyDescent="0.25">
      <c r="B19" s="121" t="s">
        <v>202</v>
      </c>
      <c r="C19" s="122">
        <v>172.2</v>
      </c>
      <c r="D19" s="122">
        <v>167</v>
      </c>
      <c r="E19" s="122">
        <v>268.70299999999997</v>
      </c>
      <c r="F19" s="122">
        <v>1865122</v>
      </c>
      <c r="G19" s="130">
        <v>5.01163876766</v>
      </c>
      <c r="H19" s="130">
        <v>34.3600183459357</v>
      </c>
      <c r="I19" s="131"/>
      <c r="J19" s="24"/>
    </row>
    <row r="21" spans="2:16" x14ac:dyDescent="0.2">
      <c r="B21" s="9" t="s">
        <v>313</v>
      </c>
    </row>
    <row r="22" spans="2:16" x14ac:dyDescent="0.2">
      <c r="B22" s="9" t="s">
        <v>314</v>
      </c>
    </row>
    <row r="24" spans="2:16" x14ac:dyDescent="0.2">
      <c r="B24" s="1" t="str">
        <f>HYPERLINK("#'Contents'!A1", "Return to Contents Page")</f>
        <v>Return to Contents Page</v>
      </c>
    </row>
    <row r="28" spans="2:16" x14ac:dyDescent="0.2">
      <c r="B28" t="s">
        <v>29</v>
      </c>
    </row>
    <row r="29" spans="2:16" ht="30" customHeight="1" x14ac:dyDescent="0.25">
      <c r="B29" s="222" t="s">
        <v>338</v>
      </c>
      <c r="C29" s="223"/>
      <c r="D29" s="223"/>
      <c r="E29" s="223"/>
      <c r="F29" s="223"/>
      <c r="G29" s="223"/>
      <c r="H29" s="223"/>
      <c r="I29" s="223"/>
      <c r="L29" s="222" t="s">
        <v>340</v>
      </c>
      <c r="M29" s="223"/>
      <c r="N29" s="223"/>
      <c r="O29" s="223"/>
      <c r="P29" s="223"/>
    </row>
    <row r="30" spans="2:16" x14ac:dyDescent="0.2">
      <c r="B30" t="s">
        <v>196</v>
      </c>
    </row>
    <row r="32" spans="2:16" ht="45" customHeight="1" thickBot="1" x14ac:dyDescent="0.3">
      <c r="B32" s="110" t="s">
        <v>197</v>
      </c>
      <c r="C32" s="111" t="s">
        <v>334</v>
      </c>
      <c r="D32" s="111" t="s">
        <v>335</v>
      </c>
      <c r="E32" s="111" t="s">
        <v>339</v>
      </c>
      <c r="F32" s="111" t="s">
        <v>308</v>
      </c>
      <c r="G32" s="111" t="s">
        <v>336</v>
      </c>
      <c r="H32" s="111" t="s">
        <v>310</v>
      </c>
      <c r="I32" s="111" t="s">
        <v>199</v>
      </c>
      <c r="J32" s="111" t="s">
        <v>311</v>
      </c>
    </row>
    <row r="33" spans="2:10" ht="15" thickTop="1" x14ac:dyDescent="0.2">
      <c r="B33" s="124" t="s">
        <v>207</v>
      </c>
      <c r="C33" s="113">
        <v>172.2</v>
      </c>
      <c r="D33" s="113">
        <v>167</v>
      </c>
      <c r="E33" s="113">
        <v>268.70299999999997</v>
      </c>
      <c r="F33" s="113">
        <v>1865122</v>
      </c>
      <c r="G33" s="127">
        <v>5.01163876766</v>
      </c>
      <c r="H33" s="127">
        <v>34.3600183459357</v>
      </c>
      <c r="I33" s="118"/>
      <c r="J33" s="118"/>
    </row>
    <row r="34" spans="2:10" x14ac:dyDescent="0.2">
      <c r="B34" s="125" t="s">
        <v>208</v>
      </c>
      <c r="C34" s="115">
        <v>175.8</v>
      </c>
      <c r="D34" s="115">
        <v>169</v>
      </c>
      <c r="E34" s="115">
        <v>271.92099999999999</v>
      </c>
      <c r="F34" s="115">
        <v>1876188</v>
      </c>
      <c r="G34" s="128">
        <v>5.1017491714799998</v>
      </c>
      <c r="H34" s="128">
        <v>34.458769745632402</v>
      </c>
      <c r="I34" s="119">
        <v>2.8740205753814301E-3</v>
      </c>
      <c r="J34" s="119">
        <v>2.8740205753814301E-3</v>
      </c>
    </row>
    <row r="35" spans="2:10" x14ac:dyDescent="0.2">
      <c r="B35" s="126" t="s">
        <v>209</v>
      </c>
      <c r="C35" s="117">
        <v>164</v>
      </c>
      <c r="D35" s="117">
        <v>169</v>
      </c>
      <c r="E35" s="117">
        <v>271.92099999999999</v>
      </c>
      <c r="F35" s="117">
        <v>1885304</v>
      </c>
      <c r="G35" s="129">
        <v>5.1265374898399996</v>
      </c>
      <c r="H35" s="129">
        <v>31.990402942536299</v>
      </c>
      <c r="I35" s="120">
        <v>-6.8964322997216804E-2</v>
      </c>
      <c r="J35" s="120">
        <v>-7.1632470378863902E-2</v>
      </c>
    </row>
    <row r="36" spans="2:10" x14ac:dyDescent="0.2">
      <c r="B36" s="125" t="s">
        <v>210</v>
      </c>
      <c r="C36" s="115">
        <v>159.4</v>
      </c>
      <c r="D36" s="115">
        <v>169</v>
      </c>
      <c r="E36" s="115">
        <v>271.92099999999999</v>
      </c>
      <c r="F36" s="115">
        <v>1893008</v>
      </c>
      <c r="G36" s="128">
        <v>5.1474862836800002</v>
      </c>
      <c r="H36" s="128">
        <v>30.966571101971599</v>
      </c>
      <c r="I36" s="119">
        <v>-9.8761508500926395E-2</v>
      </c>
      <c r="J36" s="119">
        <v>-3.2004343377724898E-2</v>
      </c>
    </row>
    <row r="37" spans="2:10" x14ac:dyDescent="0.2">
      <c r="B37" s="126" t="s">
        <v>211</v>
      </c>
      <c r="C37" s="117">
        <v>158.19999999999999</v>
      </c>
      <c r="D37" s="117">
        <v>169</v>
      </c>
      <c r="E37" s="117">
        <v>271.92099999999999</v>
      </c>
      <c r="F37" s="117">
        <v>1900081</v>
      </c>
      <c r="G37" s="129">
        <v>5.1667192560100004</v>
      </c>
      <c r="H37" s="129">
        <v>30.619043180250099</v>
      </c>
      <c r="I37" s="120">
        <v>-0.108875819797927</v>
      </c>
      <c r="J37" s="120">
        <v>-1.1222680114535E-2</v>
      </c>
    </row>
    <row r="38" spans="2:10" x14ac:dyDescent="0.2">
      <c r="B38" s="125" t="s">
        <v>212</v>
      </c>
      <c r="C38" s="115">
        <v>166.2</v>
      </c>
      <c r="D38" s="115">
        <v>169</v>
      </c>
      <c r="E38" s="115">
        <v>271.92099999999999</v>
      </c>
      <c r="F38" s="115">
        <v>1904938</v>
      </c>
      <c r="G38" s="128">
        <v>5.1799264589799998</v>
      </c>
      <c r="H38" s="128">
        <v>32.085397604800598</v>
      </c>
      <c r="I38" s="119">
        <v>-6.6199636980233206E-2</v>
      </c>
      <c r="J38" s="119">
        <v>4.78902758625806E-2</v>
      </c>
    </row>
    <row r="39" spans="2:10" x14ac:dyDescent="0.2">
      <c r="B39" s="126" t="s">
        <v>213</v>
      </c>
      <c r="C39" s="117">
        <v>161</v>
      </c>
      <c r="D39" s="117">
        <v>169</v>
      </c>
      <c r="E39" s="117">
        <v>271.92099999999999</v>
      </c>
      <c r="F39" s="117">
        <v>1911279</v>
      </c>
      <c r="G39" s="129">
        <v>5.1971689695899999</v>
      </c>
      <c r="H39" s="129">
        <v>30.978404000726801</v>
      </c>
      <c r="I39" s="120">
        <v>-9.8417128627897602E-2</v>
      </c>
      <c r="J39" s="120">
        <v>-3.4501476893281501E-2</v>
      </c>
    </row>
    <row r="40" spans="2:10" ht="30" x14ac:dyDescent="0.25">
      <c r="B40" s="121" t="s">
        <v>222</v>
      </c>
      <c r="C40" s="122">
        <v>172.2</v>
      </c>
      <c r="D40" s="122">
        <v>167</v>
      </c>
      <c r="E40" s="122">
        <v>268.70299999999997</v>
      </c>
      <c r="F40" s="122">
        <v>1865122</v>
      </c>
      <c r="G40" s="130">
        <v>5.01163876766</v>
      </c>
      <c r="H40" s="130">
        <v>34.3600183459357</v>
      </c>
      <c r="I40" s="131"/>
      <c r="J40" s="24"/>
    </row>
    <row r="41" spans="2:10" ht="30" customHeight="1" x14ac:dyDescent="0.2">
      <c r="C41" s="7"/>
      <c r="D41" s="7"/>
      <c r="E41" s="7"/>
      <c r="F41" s="7"/>
      <c r="G41" s="21"/>
      <c r="H41" s="21"/>
      <c r="I41" s="8"/>
      <c r="J41" s="8"/>
    </row>
    <row r="42" spans="2:10" x14ac:dyDescent="0.2">
      <c r="B42" s="9" t="s">
        <v>313</v>
      </c>
      <c r="C42" s="7"/>
      <c r="D42" s="7"/>
      <c r="E42" s="7"/>
      <c r="F42" s="7"/>
      <c r="G42" s="21"/>
      <c r="H42" s="21"/>
      <c r="I42" s="8"/>
      <c r="J42" s="8"/>
    </row>
    <row r="43" spans="2:10" x14ac:dyDescent="0.2">
      <c r="B43" s="9" t="s">
        <v>314</v>
      </c>
      <c r="C43" s="7"/>
      <c r="D43" s="7"/>
      <c r="E43" s="7"/>
      <c r="F43" s="7"/>
      <c r="G43" s="21"/>
      <c r="H43" s="21"/>
      <c r="I43" s="8"/>
      <c r="J43" s="8"/>
    </row>
    <row r="44" spans="2:10" ht="30" customHeight="1"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6" x14ac:dyDescent="0.2">
      <c r="B49" t="s">
        <v>31</v>
      </c>
      <c r="C49" s="7"/>
      <c r="D49" s="7"/>
      <c r="E49" s="7"/>
      <c r="F49" s="7"/>
      <c r="G49" s="21"/>
      <c r="H49" s="21"/>
      <c r="I49" s="8"/>
      <c r="J49" s="8"/>
    </row>
    <row r="50" spans="2:16" ht="30" customHeight="1" x14ac:dyDescent="0.25">
      <c r="B50" s="222" t="s">
        <v>341</v>
      </c>
      <c r="C50" s="227"/>
      <c r="D50" s="227"/>
      <c r="E50" s="227"/>
      <c r="F50" s="227"/>
      <c r="G50" s="228"/>
      <c r="H50" s="228"/>
      <c r="I50" s="229"/>
      <c r="J50" s="8"/>
      <c r="L50" s="222" t="s">
        <v>343</v>
      </c>
      <c r="M50" s="223"/>
      <c r="N50" s="223"/>
      <c r="O50" s="223"/>
      <c r="P50" s="223"/>
    </row>
    <row r="51" spans="2:16" x14ac:dyDescent="0.2">
      <c r="B51" s="13" t="s">
        <v>196</v>
      </c>
      <c r="C51" s="7"/>
      <c r="D51" s="7"/>
      <c r="E51" s="7"/>
      <c r="F51" s="7"/>
      <c r="G51" s="21"/>
      <c r="H51" s="21"/>
      <c r="I51" s="8"/>
      <c r="J51" s="8"/>
    </row>
    <row r="52" spans="2:16" x14ac:dyDescent="0.2">
      <c r="B52" s="13"/>
      <c r="G52" s="21"/>
      <c r="H52" s="21"/>
      <c r="I52" s="8"/>
      <c r="J52" s="8"/>
    </row>
    <row r="53" spans="2:16" ht="45" customHeight="1" thickBot="1" x14ac:dyDescent="0.3">
      <c r="B53" s="110" t="s">
        <v>197</v>
      </c>
      <c r="C53" s="111" t="s">
        <v>318</v>
      </c>
      <c r="D53" s="111" t="s">
        <v>319</v>
      </c>
      <c r="E53" s="111" t="s">
        <v>320</v>
      </c>
      <c r="F53" s="111" t="s">
        <v>342</v>
      </c>
      <c r="G53" s="111" t="s">
        <v>322</v>
      </c>
      <c r="H53" s="111" t="s">
        <v>323</v>
      </c>
      <c r="I53" s="8"/>
      <c r="J53" s="8"/>
    </row>
    <row r="54" spans="2:16" ht="15" thickTop="1" x14ac:dyDescent="0.2">
      <c r="B54" s="112">
        <v>2014</v>
      </c>
      <c r="C54" s="127">
        <v>34.371634236780302</v>
      </c>
      <c r="D54" s="127">
        <v>1.8862482203111</v>
      </c>
      <c r="E54" s="127">
        <v>1.68999118004753</v>
      </c>
      <c r="F54" s="127">
        <v>158</v>
      </c>
      <c r="G54" s="127">
        <v>32.485386016469199</v>
      </c>
      <c r="H54" s="127">
        <v>30.7953948364216</v>
      </c>
    </row>
    <row r="55" spans="2:16" x14ac:dyDescent="0.2">
      <c r="B55" s="114">
        <v>2015</v>
      </c>
      <c r="C55" s="128">
        <v>40.074955240526997</v>
      </c>
      <c r="D55" s="128">
        <v>2.2263864022514999</v>
      </c>
      <c r="E55" s="128">
        <v>1.9920299388566101</v>
      </c>
      <c r="F55" s="128">
        <v>183</v>
      </c>
      <c r="G55" s="128">
        <v>37.848568838275497</v>
      </c>
      <c r="H55" s="128">
        <v>35.856538899418901</v>
      </c>
    </row>
    <row r="56" spans="2:16" x14ac:dyDescent="0.2">
      <c r="B56" s="116">
        <v>2016</v>
      </c>
      <c r="C56" s="129">
        <v>37.732752375792899</v>
      </c>
      <c r="D56" s="129">
        <v>2.03350162504272</v>
      </c>
      <c r="E56" s="129">
        <v>1.8255298679360901</v>
      </c>
      <c r="F56" s="129">
        <v>179</v>
      </c>
      <c r="G56" s="129">
        <v>35.699250750750203</v>
      </c>
      <c r="H56" s="129">
        <v>33.873720882814098</v>
      </c>
    </row>
    <row r="57" spans="2:16" x14ac:dyDescent="0.2">
      <c r="B57" s="114">
        <v>2017</v>
      </c>
      <c r="C57" s="128">
        <v>40.1102533659732</v>
      </c>
      <c r="D57" s="128">
        <v>2.1746522909262498</v>
      </c>
      <c r="E57" s="128">
        <v>1.9509737695738401</v>
      </c>
      <c r="F57" s="128">
        <v>190</v>
      </c>
      <c r="G57" s="128">
        <v>37.935601075046897</v>
      </c>
      <c r="H57" s="128">
        <v>35.984627305473097</v>
      </c>
    </row>
    <row r="58" spans="2:16" x14ac:dyDescent="0.2">
      <c r="B58" s="116">
        <v>2018</v>
      </c>
      <c r="C58" s="129">
        <v>31.892971140303601</v>
      </c>
      <c r="D58" s="129">
        <v>1.73961660765293</v>
      </c>
      <c r="E58" s="129">
        <v>1.55965626893021</v>
      </c>
      <c r="F58" s="129">
        <v>151</v>
      </c>
      <c r="G58" s="129">
        <v>30.153354532650599</v>
      </c>
      <c r="H58" s="129">
        <v>28.593698263720398</v>
      </c>
    </row>
    <row r="59" spans="2:16" x14ac:dyDescent="0.2">
      <c r="B59" s="114">
        <v>2019</v>
      </c>
      <c r="C59" s="128">
        <v>36.009881584218199</v>
      </c>
      <c r="D59" s="128">
        <v>1.9176860015264201</v>
      </c>
      <c r="E59" s="128">
        <v>1.7237626980012699</v>
      </c>
      <c r="F59" s="128">
        <v>176</v>
      </c>
      <c r="G59" s="128">
        <v>34.092195582691801</v>
      </c>
      <c r="H59" s="128">
        <v>32.368432884690598</v>
      </c>
    </row>
    <row r="60" spans="2:16" x14ac:dyDescent="0.2">
      <c r="B60" s="116">
        <v>2020</v>
      </c>
      <c r="C60" s="129">
        <v>25.343846447877802</v>
      </c>
      <c r="D60" s="129">
        <v>1.3496722960408301</v>
      </c>
      <c r="E60" s="129">
        <v>1.21318858071086</v>
      </c>
      <c r="F60" s="129">
        <v>124</v>
      </c>
      <c r="G60" s="129">
        <v>23.994174151837001</v>
      </c>
      <c r="H60" s="129">
        <v>22.780985571126099</v>
      </c>
    </row>
    <row r="61" spans="2:16" x14ac:dyDescent="0.2">
      <c r="B61" s="114">
        <v>2021</v>
      </c>
      <c r="C61" s="128">
        <v>31.816543774945501</v>
      </c>
      <c r="D61" s="128">
        <v>1.69437215369532</v>
      </c>
      <c r="E61" s="128">
        <v>1.52303114938905</v>
      </c>
      <c r="F61" s="128">
        <v>156</v>
      </c>
      <c r="G61" s="128">
        <v>30.1221716212501</v>
      </c>
      <c r="H61" s="128">
        <v>28.599140471861102</v>
      </c>
    </row>
    <row r="62" spans="2:16" x14ac:dyDescent="0.2">
      <c r="B62" s="116">
        <v>2022</v>
      </c>
      <c r="C62" s="129">
        <v>37.409764959108301</v>
      </c>
      <c r="D62" s="129">
        <v>1.9922360037394899</v>
      </c>
      <c r="E62" s="129">
        <v>1.7907739359456201</v>
      </c>
      <c r="F62" s="129">
        <v>184</v>
      </c>
      <c r="G62" s="129">
        <v>35.417528955368901</v>
      </c>
      <c r="H62" s="129">
        <v>33.6267550194232</v>
      </c>
    </row>
    <row r="63" spans="2:16" x14ac:dyDescent="0.2">
      <c r="B63" s="114">
        <v>2023</v>
      </c>
      <c r="C63" s="128">
        <v>38.634003416138498</v>
      </c>
      <c r="D63" s="128">
        <v>2.0574321345872502</v>
      </c>
      <c r="E63" s="128">
        <v>1.849377199629</v>
      </c>
      <c r="F63" s="128">
        <v>191</v>
      </c>
      <c r="G63" s="128">
        <v>36.576571281551203</v>
      </c>
      <c r="H63" s="128">
        <v>34.7271940819222</v>
      </c>
    </row>
    <row r="64" spans="2:16" x14ac:dyDescent="0.2">
      <c r="B64" s="116">
        <v>2024</v>
      </c>
      <c r="C64" s="129">
        <v>30.340840379166401</v>
      </c>
      <c r="D64" s="129">
        <v>1.6157843988905101</v>
      </c>
      <c r="E64" s="129">
        <v>1.4523904709128299</v>
      </c>
      <c r="F64" s="129">
        <v>150</v>
      </c>
      <c r="G64" s="129">
        <v>28.725055980275801</v>
      </c>
      <c r="H64" s="129">
        <v>27.272665509363001</v>
      </c>
    </row>
    <row r="65" spans="2:8" ht="30" customHeight="1" x14ac:dyDescent="0.25">
      <c r="B65" s="15" t="s">
        <v>202</v>
      </c>
      <c r="C65" s="23">
        <v>35.86</v>
      </c>
      <c r="D65" s="23">
        <v>1.5</v>
      </c>
      <c r="E65" s="23">
        <v>1.38</v>
      </c>
      <c r="F65" s="23">
        <v>172</v>
      </c>
      <c r="G65" s="23">
        <v>34.36</v>
      </c>
      <c r="H65" s="23">
        <v>32.950000000000003</v>
      </c>
    </row>
    <row r="67" spans="2:8" x14ac:dyDescent="0.2">
      <c r="B67" s="9" t="s">
        <v>325</v>
      </c>
    </row>
    <row r="68" spans="2:8" x14ac:dyDescent="0.2">
      <c r="B68" s="9" t="s">
        <v>326</v>
      </c>
    </row>
    <row r="71" spans="2:8" x14ac:dyDescent="0.2">
      <c r="B71" s="1" t="str">
        <f>HYPERLINK("#'Contents'!A1", "Return to Contents Page")</f>
        <v>Return to Contents Page</v>
      </c>
    </row>
  </sheetData>
  <mergeCells count="4">
    <mergeCell ref="B29:I29"/>
    <mergeCell ref="L29:P29"/>
    <mergeCell ref="B50:I50"/>
    <mergeCell ref="L50:P50"/>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92"/>
  <sheetViews>
    <sheetView showGridLines="0" workbookViewId="0"/>
  </sheetViews>
  <sheetFormatPr defaultColWidth="11" defaultRowHeight="14.25" x14ac:dyDescent="0.2"/>
  <cols>
    <col min="2" max="2" width="12.75" customWidth="1"/>
    <col min="4" max="6" width="0.75" hidden="1" customWidth="1"/>
    <col min="7" max="7" width="13.5" customWidth="1"/>
    <col min="9" max="11" width="12.75" customWidth="1"/>
  </cols>
  <sheetData>
    <row r="1" spans="2:12" ht="15" x14ac:dyDescent="0.25">
      <c r="B1" s="6" t="s">
        <v>344</v>
      </c>
    </row>
    <row r="3" spans="2:12" x14ac:dyDescent="0.2">
      <c r="B3" t="s">
        <v>33</v>
      </c>
    </row>
    <row r="4" spans="2:12" ht="15" x14ac:dyDescent="0.25">
      <c r="B4" s="6" t="s">
        <v>34</v>
      </c>
      <c r="L4" s="6" t="s">
        <v>349</v>
      </c>
    </row>
    <row r="5" spans="2:12" x14ac:dyDescent="0.2">
      <c r="B5" t="s">
        <v>196</v>
      </c>
    </row>
    <row r="7" spans="2:12" ht="45" customHeight="1" thickBot="1" x14ac:dyDescent="0.3">
      <c r="B7" s="110" t="s">
        <v>197</v>
      </c>
      <c r="C7" s="111" t="s">
        <v>345</v>
      </c>
      <c r="D7" s="111" t="s">
        <v>346</v>
      </c>
      <c r="E7" s="111" t="s">
        <v>347</v>
      </c>
      <c r="F7" s="111" t="s">
        <v>308</v>
      </c>
      <c r="G7" s="111" t="s">
        <v>348</v>
      </c>
      <c r="H7" s="111" t="s">
        <v>310</v>
      </c>
      <c r="I7" s="111" t="s">
        <v>199</v>
      </c>
      <c r="J7" s="111" t="s">
        <v>311</v>
      </c>
    </row>
    <row r="8" spans="2:12" ht="15" thickTop="1" x14ac:dyDescent="0.2">
      <c r="B8" s="112">
        <v>2014</v>
      </c>
      <c r="C8" s="113">
        <v>62</v>
      </c>
      <c r="D8" s="113">
        <v>28</v>
      </c>
      <c r="E8" s="113">
        <v>45.052</v>
      </c>
      <c r="F8" s="113">
        <v>1843186</v>
      </c>
      <c r="G8" s="127">
        <v>0.83039215672</v>
      </c>
      <c r="H8" s="127">
        <v>74.663518312716604</v>
      </c>
      <c r="I8" s="118"/>
      <c r="J8" s="118"/>
    </row>
    <row r="9" spans="2:12" x14ac:dyDescent="0.2">
      <c r="B9" s="114">
        <v>2015</v>
      </c>
      <c r="C9" s="115">
        <v>40</v>
      </c>
      <c r="D9" s="115">
        <v>27</v>
      </c>
      <c r="E9" s="115">
        <v>43.442999999999998</v>
      </c>
      <c r="F9" s="115">
        <v>1854943</v>
      </c>
      <c r="G9" s="128">
        <v>0.80584288748999999</v>
      </c>
      <c r="H9" s="128">
        <v>49.637467328885997</v>
      </c>
      <c r="I9" s="119"/>
      <c r="J9" s="119">
        <v>-0.33518445888141701</v>
      </c>
    </row>
    <row r="10" spans="2:12" x14ac:dyDescent="0.2">
      <c r="B10" s="116">
        <v>2016</v>
      </c>
      <c r="C10" s="117">
        <v>64</v>
      </c>
      <c r="D10" s="117">
        <v>33</v>
      </c>
      <c r="E10" s="117">
        <v>53.097000000000001</v>
      </c>
      <c r="F10" s="117">
        <v>1866042</v>
      </c>
      <c r="G10" s="129">
        <v>0.99081232074000003</v>
      </c>
      <c r="H10" s="129">
        <v>64.593464029798099</v>
      </c>
      <c r="I10" s="120"/>
      <c r="J10" s="120">
        <v>0.301304589168849</v>
      </c>
    </row>
    <row r="11" spans="2:12" x14ac:dyDescent="0.2">
      <c r="B11" s="114">
        <v>2017</v>
      </c>
      <c r="C11" s="115">
        <v>52</v>
      </c>
      <c r="D11" s="115">
        <v>34</v>
      </c>
      <c r="E11" s="115">
        <v>54.706000000000003</v>
      </c>
      <c r="F11" s="115">
        <v>1875178</v>
      </c>
      <c r="G11" s="128">
        <v>1.0258348766800001</v>
      </c>
      <c r="H11" s="128">
        <v>50.690419269319598</v>
      </c>
      <c r="I11" s="119"/>
      <c r="J11" s="119">
        <v>-0.21523918819502799</v>
      </c>
    </row>
    <row r="12" spans="2:12" x14ac:dyDescent="0.2">
      <c r="B12" s="116">
        <v>2018</v>
      </c>
      <c r="C12" s="117">
        <v>47</v>
      </c>
      <c r="D12" s="117">
        <v>32</v>
      </c>
      <c r="E12" s="117">
        <v>51.488</v>
      </c>
      <c r="F12" s="117">
        <v>1886259</v>
      </c>
      <c r="G12" s="129">
        <v>0.97119703392000001</v>
      </c>
      <c r="H12" s="129">
        <v>48.393887500146</v>
      </c>
      <c r="I12" s="120"/>
      <c r="J12" s="120">
        <v>-4.5305045850420902E-2</v>
      </c>
    </row>
    <row r="13" spans="2:12" x14ac:dyDescent="0.2">
      <c r="B13" s="114">
        <v>2019</v>
      </c>
      <c r="C13" s="115">
        <v>59</v>
      </c>
      <c r="D13" s="115">
        <v>34</v>
      </c>
      <c r="E13" s="115">
        <v>54.706000000000003</v>
      </c>
      <c r="F13" s="115">
        <v>1898519</v>
      </c>
      <c r="G13" s="128">
        <v>1.0386038041400001</v>
      </c>
      <c r="H13" s="128">
        <v>56.807032445691902</v>
      </c>
      <c r="I13" s="119">
        <v>2.9294140162418301E-2</v>
      </c>
      <c r="J13" s="119">
        <v>0.17384726419262</v>
      </c>
    </row>
    <row r="14" spans="2:12" x14ac:dyDescent="0.2">
      <c r="B14" s="116">
        <v>2020</v>
      </c>
      <c r="C14" s="117">
        <v>49</v>
      </c>
      <c r="D14" s="117">
        <v>34</v>
      </c>
      <c r="E14" s="117">
        <v>54.706000000000003</v>
      </c>
      <c r="F14" s="117">
        <v>1900523</v>
      </c>
      <c r="G14" s="129">
        <v>1.03970011238</v>
      </c>
      <c r="H14" s="129">
        <v>47.128974419203502</v>
      </c>
      <c r="I14" s="120">
        <v>-0.14606387425841499</v>
      </c>
      <c r="J14" s="120">
        <v>-0.17036725225421201</v>
      </c>
    </row>
    <row r="15" spans="2:12" x14ac:dyDescent="0.2">
      <c r="B15" s="114">
        <v>2021</v>
      </c>
      <c r="C15" s="115">
        <v>64</v>
      </c>
      <c r="D15" s="115">
        <v>34</v>
      </c>
      <c r="E15" s="115">
        <v>54.706000000000003</v>
      </c>
      <c r="F15" s="115">
        <v>1904564</v>
      </c>
      <c r="G15" s="128">
        <v>1.04191078184</v>
      </c>
      <c r="H15" s="128">
        <v>61.425604874706202</v>
      </c>
      <c r="I15" s="119">
        <v>0.112978665342375</v>
      </c>
      <c r="J15" s="119">
        <v>0.303351189617173</v>
      </c>
    </row>
    <row r="16" spans="2:12" x14ac:dyDescent="0.2">
      <c r="B16" s="116">
        <v>2022</v>
      </c>
      <c r="C16" s="117">
        <v>74</v>
      </c>
      <c r="D16" s="117">
        <v>34</v>
      </c>
      <c r="E16" s="117">
        <v>54.706000000000003</v>
      </c>
      <c r="F16" s="117">
        <v>1910543</v>
      </c>
      <c r="G16" s="129">
        <v>1.04518165358</v>
      </c>
      <c r="H16" s="129">
        <v>70.801089692430097</v>
      </c>
      <c r="I16" s="120">
        <v>0.28285431574341602</v>
      </c>
      <c r="J16" s="120">
        <v>0.15263154244631</v>
      </c>
    </row>
    <row r="17" spans="2:16" x14ac:dyDescent="0.2">
      <c r="B17" s="114">
        <v>2023</v>
      </c>
      <c r="C17" s="115">
        <v>75</v>
      </c>
      <c r="D17" s="115">
        <v>34</v>
      </c>
      <c r="E17" s="115">
        <v>54.706000000000003</v>
      </c>
      <c r="F17" s="115">
        <v>1920382</v>
      </c>
      <c r="G17" s="128">
        <v>1.05056417692</v>
      </c>
      <c r="H17" s="128">
        <v>71.390212656862005</v>
      </c>
      <c r="I17" s="119">
        <v>0.293528712715386</v>
      </c>
      <c r="J17" s="119">
        <v>8.3208177584713303E-3</v>
      </c>
    </row>
    <row r="18" spans="2:16" x14ac:dyDescent="0.2">
      <c r="B18" s="116">
        <v>2024</v>
      </c>
      <c r="C18" s="117">
        <v>64</v>
      </c>
      <c r="D18" s="117">
        <v>34</v>
      </c>
      <c r="E18" s="117">
        <v>54.706000000000003</v>
      </c>
      <c r="F18" s="117">
        <v>1920382</v>
      </c>
      <c r="G18" s="129">
        <v>1.05056417692</v>
      </c>
      <c r="H18" s="129">
        <v>60.919648133855603</v>
      </c>
      <c r="I18" s="120">
        <v>0.103811168183796</v>
      </c>
      <c r="J18" s="120">
        <v>-0.146666666666667</v>
      </c>
    </row>
    <row r="19" spans="2:16" ht="30" customHeight="1" x14ac:dyDescent="0.25">
      <c r="B19" s="121" t="s">
        <v>202</v>
      </c>
      <c r="C19" s="122">
        <v>53</v>
      </c>
      <c r="D19" s="122">
        <v>32</v>
      </c>
      <c r="E19" s="122">
        <v>51.488</v>
      </c>
      <c r="F19" s="122">
        <v>1865122</v>
      </c>
      <c r="G19" s="130">
        <v>0.96031401536000005</v>
      </c>
      <c r="H19" s="130">
        <v>55.190280629333003</v>
      </c>
      <c r="I19" s="131"/>
      <c r="J19" s="24"/>
    </row>
    <row r="21" spans="2:16" x14ac:dyDescent="0.2">
      <c r="B21" s="9" t="s">
        <v>313</v>
      </c>
    </row>
    <row r="22" spans="2:16" x14ac:dyDescent="0.2">
      <c r="B22" s="9" t="s">
        <v>314</v>
      </c>
    </row>
    <row r="24" spans="2:16" x14ac:dyDescent="0.2">
      <c r="B24" s="1" t="str">
        <f>HYPERLINK("#'Contents'!A1", "Return to Contents Page")</f>
        <v>Return to Contents Page</v>
      </c>
    </row>
    <row r="28" spans="2:16" x14ac:dyDescent="0.2">
      <c r="B28" t="s">
        <v>35</v>
      </c>
    </row>
    <row r="29" spans="2:16" ht="30" customHeight="1" x14ac:dyDescent="0.25">
      <c r="B29" s="222" t="s">
        <v>350</v>
      </c>
      <c r="C29" s="223"/>
      <c r="D29" s="223"/>
      <c r="E29" s="223"/>
      <c r="F29" s="223"/>
      <c r="G29" s="223"/>
      <c r="H29" s="223"/>
      <c r="I29" s="223"/>
      <c r="L29" s="222" t="s">
        <v>352</v>
      </c>
      <c r="M29" s="223"/>
      <c r="N29" s="223"/>
      <c r="O29" s="223"/>
      <c r="P29" s="223"/>
    </row>
    <row r="30" spans="2:16" x14ac:dyDescent="0.2">
      <c r="B30" t="s">
        <v>196</v>
      </c>
    </row>
    <row r="32" spans="2:16" ht="45" customHeight="1" thickBot="1" x14ac:dyDescent="0.3">
      <c r="B32" s="110" t="s">
        <v>197</v>
      </c>
      <c r="C32" s="111" t="s">
        <v>345</v>
      </c>
      <c r="D32" s="111" t="s">
        <v>351</v>
      </c>
      <c r="E32" s="111" t="s">
        <v>347</v>
      </c>
      <c r="F32" s="111" t="s">
        <v>308</v>
      </c>
      <c r="G32" s="111" t="s">
        <v>348</v>
      </c>
      <c r="H32" s="111" t="s">
        <v>310</v>
      </c>
      <c r="I32" s="111" t="s">
        <v>199</v>
      </c>
      <c r="J32" s="111" t="s">
        <v>311</v>
      </c>
    </row>
    <row r="33" spans="2:10" ht="15" thickTop="1" x14ac:dyDescent="0.2">
      <c r="B33" s="124" t="s">
        <v>207</v>
      </c>
      <c r="C33" s="113">
        <v>53</v>
      </c>
      <c r="D33" s="113">
        <v>32</v>
      </c>
      <c r="E33" s="113">
        <v>51.488</v>
      </c>
      <c r="F33" s="113">
        <v>1865122</v>
      </c>
      <c r="G33" s="127">
        <v>0.96031401536000005</v>
      </c>
      <c r="H33" s="127">
        <v>55.190280629333003</v>
      </c>
      <c r="I33" s="118"/>
      <c r="J33" s="118"/>
    </row>
    <row r="34" spans="2:10" x14ac:dyDescent="0.2">
      <c r="B34" s="125" t="s">
        <v>208</v>
      </c>
      <c r="C34" s="115">
        <v>52.4</v>
      </c>
      <c r="D34" s="115">
        <v>34</v>
      </c>
      <c r="E34" s="115">
        <v>54.706000000000003</v>
      </c>
      <c r="F34" s="115">
        <v>1876188</v>
      </c>
      <c r="G34" s="128">
        <v>1.0263874072800001</v>
      </c>
      <c r="H34" s="128">
        <v>51.0528477145523</v>
      </c>
      <c r="I34" s="119">
        <v>-7.4966694635390504E-2</v>
      </c>
      <c r="J34" s="119">
        <v>-7.4966694635390504E-2</v>
      </c>
    </row>
    <row r="35" spans="2:10" x14ac:dyDescent="0.2">
      <c r="B35" s="126" t="s">
        <v>209</v>
      </c>
      <c r="C35" s="117">
        <v>54.2</v>
      </c>
      <c r="D35" s="117">
        <v>34</v>
      </c>
      <c r="E35" s="117">
        <v>54.706000000000003</v>
      </c>
      <c r="F35" s="117">
        <v>1885304</v>
      </c>
      <c r="G35" s="129">
        <v>1.0313744062400001</v>
      </c>
      <c r="H35" s="129">
        <v>52.5512361680494</v>
      </c>
      <c r="I35" s="120">
        <v>-4.7817195911864001E-2</v>
      </c>
      <c r="J35" s="120">
        <v>2.9349752669527301E-2</v>
      </c>
    </row>
    <row r="36" spans="2:10" x14ac:dyDescent="0.2">
      <c r="B36" s="125" t="s">
        <v>210</v>
      </c>
      <c r="C36" s="115">
        <v>54.2</v>
      </c>
      <c r="D36" s="115">
        <v>34</v>
      </c>
      <c r="E36" s="115">
        <v>54.706000000000003</v>
      </c>
      <c r="F36" s="115">
        <v>1893008</v>
      </c>
      <c r="G36" s="128">
        <v>1.03558895648</v>
      </c>
      <c r="H36" s="128">
        <v>52.337367698693399</v>
      </c>
      <c r="I36" s="119">
        <v>-5.1692307016885701E-2</v>
      </c>
      <c r="J36" s="119">
        <v>-4.06971338737077E-3</v>
      </c>
    </row>
    <row r="37" spans="2:10" x14ac:dyDescent="0.2">
      <c r="B37" s="126" t="s">
        <v>211</v>
      </c>
      <c r="C37" s="117">
        <v>58.6</v>
      </c>
      <c r="D37" s="117">
        <v>34</v>
      </c>
      <c r="E37" s="117">
        <v>54.706000000000003</v>
      </c>
      <c r="F37" s="117">
        <v>1900081</v>
      </c>
      <c r="G37" s="129">
        <v>1.03945831186</v>
      </c>
      <c r="H37" s="129">
        <v>56.375517258735997</v>
      </c>
      <c r="I37" s="120">
        <v>2.1475459372334499E-2</v>
      </c>
      <c r="J37" s="120">
        <v>7.7156145553406399E-2</v>
      </c>
    </row>
    <row r="38" spans="2:10" x14ac:dyDescent="0.2">
      <c r="B38" s="125" t="s">
        <v>212</v>
      </c>
      <c r="C38" s="115">
        <v>64.2</v>
      </c>
      <c r="D38" s="115">
        <v>34</v>
      </c>
      <c r="E38" s="115">
        <v>54.706000000000003</v>
      </c>
      <c r="F38" s="115">
        <v>1904938</v>
      </c>
      <c r="G38" s="128">
        <v>1.04211538228</v>
      </c>
      <c r="H38" s="128">
        <v>61.605462400468099</v>
      </c>
      <c r="I38" s="119">
        <v>0.116237527658548</v>
      </c>
      <c r="J38" s="119">
        <v>9.2769794336950498E-2</v>
      </c>
    </row>
    <row r="39" spans="2:10" x14ac:dyDescent="0.2">
      <c r="B39" s="126" t="s">
        <v>213</v>
      </c>
      <c r="C39" s="117">
        <v>65.2</v>
      </c>
      <c r="D39" s="117">
        <v>34</v>
      </c>
      <c r="E39" s="117">
        <v>54.706000000000003</v>
      </c>
      <c r="F39" s="117">
        <v>1911279</v>
      </c>
      <c r="G39" s="129">
        <v>1.0455842897400001</v>
      </c>
      <c r="H39" s="129">
        <v>62.357478626819201</v>
      </c>
      <c r="I39" s="120">
        <v>0.12986340920464401</v>
      </c>
      <c r="J39" s="120">
        <v>1.22069731651812E-2</v>
      </c>
    </row>
    <row r="40" spans="2:10" ht="30" customHeight="1" x14ac:dyDescent="0.25">
      <c r="B40" s="121" t="s">
        <v>222</v>
      </c>
      <c r="C40" s="122">
        <v>53</v>
      </c>
      <c r="D40" s="122">
        <v>32</v>
      </c>
      <c r="E40" s="122">
        <v>51.488</v>
      </c>
      <c r="F40" s="122">
        <v>1865122</v>
      </c>
      <c r="G40" s="130">
        <v>0.96031401536000005</v>
      </c>
      <c r="H40" s="130">
        <v>55.190280629333003</v>
      </c>
      <c r="I40" s="131"/>
      <c r="J40" s="24"/>
    </row>
    <row r="41" spans="2:10" x14ac:dyDescent="0.2">
      <c r="C41" s="7"/>
      <c r="D41" s="7"/>
      <c r="E41" s="7"/>
      <c r="F41" s="7"/>
      <c r="G41" s="21"/>
      <c r="H41" s="21"/>
      <c r="I41" s="8"/>
      <c r="J41" s="8"/>
    </row>
    <row r="42" spans="2:10" x14ac:dyDescent="0.2">
      <c r="B42" s="9" t="s">
        <v>313</v>
      </c>
      <c r="C42" s="7"/>
      <c r="D42" s="7"/>
      <c r="E42" s="7"/>
      <c r="F42" s="7"/>
      <c r="G42" s="21"/>
      <c r="H42" s="21"/>
      <c r="I42" s="8"/>
      <c r="J42" s="8"/>
    </row>
    <row r="43" spans="2:10" x14ac:dyDescent="0.2">
      <c r="B43" s="9" t="s">
        <v>314</v>
      </c>
      <c r="C43" s="7"/>
      <c r="D43" s="7"/>
      <c r="E43" s="7"/>
      <c r="F43" s="7"/>
      <c r="G43" s="21"/>
      <c r="H43" s="21"/>
      <c r="I43" s="8"/>
      <c r="J43" s="8"/>
    </row>
    <row r="44" spans="2:10"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6" x14ac:dyDescent="0.2">
      <c r="B49" t="s">
        <v>37</v>
      </c>
      <c r="C49" s="7"/>
      <c r="D49" s="7"/>
      <c r="E49" s="7"/>
      <c r="F49" s="7"/>
      <c r="G49" s="21"/>
      <c r="H49" s="21"/>
      <c r="I49" s="8"/>
      <c r="J49" s="8"/>
    </row>
    <row r="50" spans="2:16" ht="30" customHeight="1" x14ac:dyDescent="0.25">
      <c r="B50" s="222" t="s">
        <v>353</v>
      </c>
      <c r="C50" s="227"/>
      <c r="D50" s="227"/>
      <c r="E50" s="227"/>
      <c r="F50" s="227"/>
      <c r="G50" s="228"/>
      <c r="H50" s="228"/>
      <c r="I50" s="229"/>
      <c r="J50" s="8"/>
      <c r="L50" s="222" t="s">
        <v>355</v>
      </c>
      <c r="M50" s="223"/>
      <c r="N50" s="223"/>
      <c r="O50" s="223"/>
      <c r="P50" s="223"/>
    </row>
    <row r="51" spans="2:16" x14ac:dyDescent="0.2">
      <c r="B51" s="13" t="s">
        <v>196</v>
      </c>
      <c r="C51" s="7"/>
      <c r="D51" s="7"/>
      <c r="E51" s="7"/>
      <c r="F51" s="7"/>
      <c r="G51" s="21"/>
      <c r="H51" s="21"/>
      <c r="I51" s="8"/>
      <c r="J51" s="8"/>
    </row>
    <row r="52" spans="2:16" x14ac:dyDescent="0.2">
      <c r="B52" s="13"/>
      <c r="G52" s="21"/>
      <c r="H52" s="21"/>
      <c r="I52" s="8"/>
      <c r="J52" s="8"/>
    </row>
    <row r="53" spans="2:16" ht="45" customHeight="1" thickBot="1" x14ac:dyDescent="0.3">
      <c r="B53" s="110" t="s">
        <v>197</v>
      </c>
      <c r="C53" s="111" t="s">
        <v>318</v>
      </c>
      <c r="D53" s="111" t="s">
        <v>319</v>
      </c>
      <c r="E53" s="111" t="s">
        <v>320</v>
      </c>
      <c r="F53" s="111" t="s">
        <v>354</v>
      </c>
      <c r="G53" s="111" t="s">
        <v>322</v>
      </c>
      <c r="H53" s="111" t="s">
        <v>323</v>
      </c>
      <c r="I53" s="8"/>
      <c r="J53" s="8"/>
    </row>
    <row r="54" spans="2:16" ht="15" thickTop="1" x14ac:dyDescent="0.2">
      <c r="B54" s="112">
        <v>2014</v>
      </c>
      <c r="C54" s="127">
        <v>99.551357750288901</v>
      </c>
      <c r="D54" s="127">
        <v>24.8878394375722</v>
      </c>
      <c r="E54" s="127">
        <v>14.9327036625433</v>
      </c>
      <c r="F54" s="127">
        <v>62</v>
      </c>
      <c r="G54" s="127">
        <v>74.663518312716604</v>
      </c>
      <c r="H54" s="127">
        <v>59.730814650173301</v>
      </c>
    </row>
    <row r="55" spans="2:16" x14ac:dyDescent="0.2">
      <c r="B55" s="114">
        <v>2015</v>
      </c>
      <c r="C55" s="128">
        <v>70.537453572627399</v>
      </c>
      <c r="D55" s="128">
        <v>20.899986243741498</v>
      </c>
      <c r="E55" s="128">
        <v>11.3457068180311</v>
      </c>
      <c r="F55" s="128">
        <v>40</v>
      </c>
      <c r="G55" s="128">
        <v>49.637467328885997</v>
      </c>
      <c r="H55" s="128">
        <v>38.2917605108549</v>
      </c>
    </row>
    <row r="56" spans="2:16" x14ac:dyDescent="0.2">
      <c r="B56" s="116">
        <v>2016</v>
      </c>
      <c r="C56" s="129">
        <v>88.816013040972393</v>
      </c>
      <c r="D56" s="129">
        <v>24.222549011174301</v>
      </c>
      <c r="E56" s="129">
        <v>13.841456577813901</v>
      </c>
      <c r="F56" s="129">
        <v>64</v>
      </c>
      <c r="G56" s="129">
        <v>64.593464029798099</v>
      </c>
      <c r="H56" s="129">
        <v>50.752007451984198</v>
      </c>
    </row>
    <row r="57" spans="2:16" x14ac:dyDescent="0.2">
      <c r="B57" s="114">
        <v>2017</v>
      </c>
      <c r="C57" s="128">
        <v>68.938970206274703</v>
      </c>
      <c r="D57" s="128">
        <v>18.248550936955102</v>
      </c>
      <c r="E57" s="128">
        <v>10.6096226377646</v>
      </c>
      <c r="F57" s="128">
        <v>52</v>
      </c>
      <c r="G57" s="128">
        <v>50.690419269319598</v>
      </c>
      <c r="H57" s="128">
        <v>40.080796631555103</v>
      </c>
    </row>
    <row r="58" spans="2:16" x14ac:dyDescent="0.2">
      <c r="B58" s="116">
        <v>2018</v>
      </c>
      <c r="C58" s="129">
        <v>64.525183333528105</v>
      </c>
      <c r="D58" s="129">
        <v>16.131295833382001</v>
      </c>
      <c r="E58" s="129">
        <v>9.6787775000292093</v>
      </c>
      <c r="F58" s="129">
        <v>47</v>
      </c>
      <c r="G58" s="129">
        <v>48.393887500146</v>
      </c>
      <c r="H58" s="129">
        <v>38.715110000116802</v>
      </c>
    </row>
    <row r="59" spans="2:16" x14ac:dyDescent="0.2">
      <c r="B59" s="114">
        <v>2019</v>
      </c>
      <c r="C59" s="128">
        <v>77.257564126141006</v>
      </c>
      <c r="D59" s="128">
        <v>20.4505316804491</v>
      </c>
      <c r="E59" s="128">
        <v>11.8898440002611</v>
      </c>
      <c r="F59" s="128">
        <v>59</v>
      </c>
      <c r="G59" s="128">
        <v>56.807032445691902</v>
      </c>
      <c r="H59" s="128">
        <v>44.917188445430803</v>
      </c>
    </row>
    <row r="60" spans="2:16" x14ac:dyDescent="0.2">
      <c r="B60" s="116">
        <v>2020</v>
      </c>
      <c r="C60" s="129">
        <v>64.095405210116695</v>
      </c>
      <c r="D60" s="129">
        <v>16.9664307909133</v>
      </c>
      <c r="E60" s="129">
        <v>9.8642039482053701</v>
      </c>
      <c r="F60" s="129">
        <v>49</v>
      </c>
      <c r="G60" s="129">
        <v>47.128974419203502</v>
      </c>
      <c r="H60" s="129">
        <v>37.264770470998101</v>
      </c>
    </row>
    <row r="61" spans="2:16" x14ac:dyDescent="0.2">
      <c r="B61" s="114">
        <v>2021</v>
      </c>
      <c r="C61" s="128">
        <v>83.538822629600404</v>
      </c>
      <c r="D61" s="128">
        <v>22.113217754894201</v>
      </c>
      <c r="E61" s="128">
        <v>12.8565219505199</v>
      </c>
      <c r="F61" s="128">
        <v>64</v>
      </c>
      <c r="G61" s="128">
        <v>61.425604874706202</v>
      </c>
      <c r="H61" s="128">
        <v>48.569082924186297</v>
      </c>
    </row>
    <row r="62" spans="2:16" x14ac:dyDescent="0.2">
      <c r="B62" s="116">
        <v>2022</v>
      </c>
      <c r="C62" s="129">
        <v>96.289481981704995</v>
      </c>
      <c r="D62" s="129">
        <v>25.488392289274898</v>
      </c>
      <c r="E62" s="129">
        <v>14.818832726322601</v>
      </c>
      <c r="F62" s="129">
        <v>74</v>
      </c>
      <c r="G62" s="129">
        <v>70.801089692430097</v>
      </c>
      <c r="H62" s="129">
        <v>55.982256966107499</v>
      </c>
    </row>
    <row r="63" spans="2:16" x14ac:dyDescent="0.2">
      <c r="B63" s="114">
        <v>2023</v>
      </c>
      <c r="C63" s="128">
        <v>97.090689213332297</v>
      </c>
      <c r="D63" s="128">
        <v>25.700476556470299</v>
      </c>
      <c r="E63" s="128">
        <v>14.9421375328316</v>
      </c>
      <c r="F63" s="128">
        <v>75</v>
      </c>
      <c r="G63" s="128">
        <v>71.390212656862005</v>
      </c>
      <c r="H63" s="128">
        <v>56.448075124030403</v>
      </c>
    </row>
    <row r="64" spans="2:16" x14ac:dyDescent="0.2">
      <c r="B64" s="116">
        <v>2024</v>
      </c>
      <c r="C64" s="129">
        <v>82.850721462043595</v>
      </c>
      <c r="D64" s="129">
        <v>21.931073328187999</v>
      </c>
      <c r="E64" s="129">
        <v>12.750624028016301</v>
      </c>
      <c r="F64" s="129">
        <v>64</v>
      </c>
      <c r="G64" s="129">
        <v>60.919648133855603</v>
      </c>
      <c r="H64" s="129">
        <v>48.169024105839298</v>
      </c>
    </row>
    <row r="65" spans="2:17" ht="30" customHeight="1" x14ac:dyDescent="0.25">
      <c r="B65" s="15" t="s">
        <v>202</v>
      </c>
      <c r="C65" s="23">
        <v>70.64</v>
      </c>
      <c r="D65" s="23">
        <v>15.45</v>
      </c>
      <c r="E65" s="23">
        <v>9.91</v>
      </c>
      <c r="F65" s="23">
        <v>53</v>
      </c>
      <c r="G65" s="23">
        <v>55.19</v>
      </c>
      <c r="H65" s="23">
        <v>45.28</v>
      </c>
    </row>
    <row r="67" spans="2:17" x14ac:dyDescent="0.2">
      <c r="B67" s="9" t="s">
        <v>325</v>
      </c>
    </row>
    <row r="68" spans="2:17" x14ac:dyDescent="0.2">
      <c r="B68" s="9" t="s">
        <v>326</v>
      </c>
    </row>
    <row r="71" spans="2:17" x14ac:dyDescent="0.2">
      <c r="B71" s="1" t="str">
        <f>HYPERLINK("#'Contents'!A1", "Return to Contents Page")</f>
        <v>Return to Contents Page</v>
      </c>
    </row>
    <row r="73" spans="2:17" x14ac:dyDescent="0.2">
      <c r="B73" t="s">
        <v>39</v>
      </c>
    </row>
    <row r="74" spans="2:17" ht="30" customHeight="1" x14ac:dyDescent="0.25">
      <c r="B74" s="222" t="s">
        <v>356</v>
      </c>
      <c r="C74" s="223"/>
      <c r="D74" s="223"/>
      <c r="E74" s="223"/>
      <c r="F74" s="223"/>
      <c r="G74" s="223"/>
      <c r="H74" s="223"/>
      <c r="I74" s="223"/>
      <c r="L74" s="222" t="s">
        <v>357</v>
      </c>
      <c r="M74" s="223"/>
      <c r="N74" s="223"/>
      <c r="O74" s="223"/>
      <c r="P74" s="223"/>
      <c r="Q74" s="223"/>
    </row>
    <row r="75" spans="2:17" x14ac:dyDescent="0.2">
      <c r="B75" t="s">
        <v>196</v>
      </c>
    </row>
    <row r="77" spans="2:17" ht="45" customHeight="1" thickBot="1" x14ac:dyDescent="0.3">
      <c r="B77" s="110" t="s">
        <v>197</v>
      </c>
      <c r="C77" s="111" t="s">
        <v>318</v>
      </c>
      <c r="D77" s="111" t="s">
        <v>319</v>
      </c>
      <c r="E77" s="111" t="s">
        <v>320</v>
      </c>
      <c r="F77" s="111" t="s">
        <v>354</v>
      </c>
      <c r="G77" s="111" t="s">
        <v>322</v>
      </c>
      <c r="H77" s="111" t="s">
        <v>323</v>
      </c>
    </row>
    <row r="78" spans="2:17" ht="15" thickTop="1" x14ac:dyDescent="0.2">
      <c r="B78" s="112" t="s">
        <v>207</v>
      </c>
      <c r="C78" s="127">
        <v>70.643559205546197</v>
      </c>
      <c r="D78" s="127">
        <v>15.453278576213201</v>
      </c>
      <c r="E78" s="127">
        <v>9.9059478052648906</v>
      </c>
      <c r="F78" s="127">
        <v>53</v>
      </c>
      <c r="G78" s="127">
        <v>55.190280629333003</v>
      </c>
      <c r="H78" s="127">
        <v>45.284332824068102</v>
      </c>
    </row>
    <row r="79" spans="2:17" x14ac:dyDescent="0.2">
      <c r="B79" s="114" t="s">
        <v>208</v>
      </c>
      <c r="C79" s="128">
        <v>64.2887711961029</v>
      </c>
      <c r="D79" s="128">
        <v>13.2359234815506</v>
      </c>
      <c r="E79" s="128">
        <v>8.7163398537040404</v>
      </c>
      <c r="F79" s="128">
        <v>52.4</v>
      </c>
      <c r="G79" s="128">
        <v>51.0528477145523</v>
      </c>
      <c r="H79" s="128">
        <v>42.336507860848201</v>
      </c>
    </row>
    <row r="80" spans="2:17" x14ac:dyDescent="0.2">
      <c r="B80" s="116" t="s">
        <v>209</v>
      </c>
      <c r="C80" s="129">
        <v>66.175630730136305</v>
      </c>
      <c r="D80" s="129">
        <v>13.6243945620869</v>
      </c>
      <c r="E80" s="129">
        <v>8.9721622725938008</v>
      </c>
      <c r="F80" s="129">
        <v>54.2</v>
      </c>
      <c r="G80" s="129">
        <v>52.5512361680494</v>
      </c>
      <c r="H80" s="129">
        <v>43.579073895455601</v>
      </c>
    </row>
    <row r="81" spans="2:8" x14ac:dyDescent="0.2">
      <c r="B81" s="114" t="s">
        <v>210</v>
      </c>
      <c r="C81" s="128">
        <v>65.906314879836202</v>
      </c>
      <c r="D81" s="128">
        <v>13.5689471811427</v>
      </c>
      <c r="E81" s="128">
        <v>8.9356481436793604</v>
      </c>
      <c r="F81" s="128">
        <v>54.2</v>
      </c>
      <c r="G81" s="128">
        <v>52.337367698693399</v>
      </c>
      <c r="H81" s="128">
        <v>43.401719555014097</v>
      </c>
    </row>
    <row r="82" spans="2:8" x14ac:dyDescent="0.2">
      <c r="B82" s="116" t="s">
        <v>211</v>
      </c>
      <c r="C82" s="129">
        <v>70.991392103593498</v>
      </c>
      <c r="D82" s="129">
        <v>14.615874844857499</v>
      </c>
      <c r="E82" s="129">
        <v>9.6250883124671098</v>
      </c>
      <c r="F82" s="129">
        <v>58.6</v>
      </c>
      <c r="G82" s="129">
        <v>56.375517258735997</v>
      </c>
      <c r="H82" s="129">
        <v>46.750428946268897</v>
      </c>
    </row>
    <row r="83" spans="2:8" x14ac:dyDescent="0.2">
      <c r="B83" s="114" t="s">
        <v>212</v>
      </c>
      <c r="C83" s="128">
        <v>77.577248948737605</v>
      </c>
      <c r="D83" s="128">
        <v>15.971786548269501</v>
      </c>
      <c r="E83" s="128">
        <v>10.5180057756897</v>
      </c>
      <c r="F83" s="128">
        <v>64.2</v>
      </c>
      <c r="G83" s="128">
        <v>61.605462400468099</v>
      </c>
      <c r="H83" s="128">
        <v>51.087456624778397</v>
      </c>
    </row>
    <row r="84" spans="2:8" x14ac:dyDescent="0.2">
      <c r="B84" s="116" t="s">
        <v>213</v>
      </c>
      <c r="C84" s="129">
        <v>78.524232344883501</v>
      </c>
      <c r="D84" s="129">
        <v>16.1667537180642</v>
      </c>
      <c r="E84" s="129">
        <v>10.646398789944699</v>
      </c>
      <c r="F84" s="129">
        <v>65.2</v>
      </c>
      <c r="G84" s="129">
        <v>62.357478626819201</v>
      </c>
      <c r="H84" s="129">
        <v>51.711079836874497</v>
      </c>
    </row>
    <row r="85" spans="2:8" ht="30" x14ac:dyDescent="0.25">
      <c r="B85" s="15" t="s">
        <v>202</v>
      </c>
      <c r="C85" s="23">
        <v>70.64</v>
      </c>
      <c r="D85" s="23">
        <v>15.45</v>
      </c>
      <c r="E85" s="23">
        <v>9.91</v>
      </c>
      <c r="F85" s="23">
        <v>53</v>
      </c>
      <c r="G85" s="23">
        <v>55.19</v>
      </c>
      <c r="H85" s="23">
        <v>45.28</v>
      </c>
    </row>
    <row r="87" spans="2:8" x14ac:dyDescent="0.2">
      <c r="B87" s="9" t="s">
        <v>325</v>
      </c>
    </row>
    <row r="88" spans="2:8" x14ac:dyDescent="0.2">
      <c r="B88" s="9" t="s">
        <v>326</v>
      </c>
    </row>
    <row r="91" spans="2:8" x14ac:dyDescent="0.2">
      <c r="B91" s="1" t="str">
        <f>HYPERLINK("#'Contents'!A1", "Return to Contents Page")</f>
        <v>Return to Contents Page</v>
      </c>
    </row>
    <row r="92" spans="2:8" ht="30" customHeight="1" x14ac:dyDescent="0.2"/>
  </sheetData>
  <mergeCells count="6">
    <mergeCell ref="B29:I29"/>
    <mergeCell ref="L29:P29"/>
    <mergeCell ref="B50:I50"/>
    <mergeCell ref="L50:P50"/>
    <mergeCell ref="B74:I74"/>
    <mergeCell ref="L74:Q74"/>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92"/>
  <sheetViews>
    <sheetView showGridLines="0" workbookViewId="0"/>
  </sheetViews>
  <sheetFormatPr defaultColWidth="11" defaultRowHeight="14.25" x14ac:dyDescent="0.2"/>
  <cols>
    <col min="2" max="2" width="12.75" customWidth="1"/>
    <col min="3" max="3" width="12.25" customWidth="1"/>
    <col min="4" max="6" width="0.75" hidden="1" customWidth="1"/>
    <col min="7" max="7" width="13.5" customWidth="1"/>
    <col min="9" max="11" width="12.75" customWidth="1"/>
  </cols>
  <sheetData>
    <row r="1" spans="2:12" ht="15" x14ac:dyDescent="0.25">
      <c r="B1" s="6" t="s">
        <v>358</v>
      </c>
    </row>
    <row r="3" spans="2:12" x14ac:dyDescent="0.2">
      <c r="B3" t="s">
        <v>41</v>
      </c>
    </row>
    <row r="4" spans="2:12" ht="15" x14ac:dyDescent="0.25">
      <c r="B4" s="6" t="s">
        <v>42</v>
      </c>
      <c r="L4" s="6" t="s">
        <v>363</v>
      </c>
    </row>
    <row r="5" spans="2:12" x14ac:dyDescent="0.2">
      <c r="B5" t="s">
        <v>196</v>
      </c>
    </row>
    <row r="7" spans="2:12" ht="45" customHeight="1" thickBot="1" x14ac:dyDescent="0.3">
      <c r="B7" s="110" t="s">
        <v>197</v>
      </c>
      <c r="C7" s="111" t="s">
        <v>359</v>
      </c>
      <c r="D7" s="111" t="s">
        <v>360</v>
      </c>
      <c r="E7" s="111" t="s">
        <v>361</v>
      </c>
      <c r="F7" s="111" t="s">
        <v>308</v>
      </c>
      <c r="G7" s="111" t="s">
        <v>362</v>
      </c>
      <c r="H7" s="111" t="s">
        <v>310</v>
      </c>
      <c r="I7" s="111" t="s">
        <v>199</v>
      </c>
      <c r="J7" s="111" t="s">
        <v>311</v>
      </c>
    </row>
    <row r="8" spans="2:12" ht="15" thickTop="1" x14ac:dyDescent="0.2">
      <c r="B8" s="112">
        <v>2014</v>
      </c>
      <c r="C8" s="113">
        <v>97</v>
      </c>
      <c r="D8" s="113">
        <v>11</v>
      </c>
      <c r="E8" s="113">
        <v>17.699000000000002</v>
      </c>
      <c r="F8" s="113">
        <v>1843186</v>
      </c>
      <c r="G8" s="127">
        <v>0.32622549014000002</v>
      </c>
      <c r="H8" s="127">
        <v>297.34034565592202</v>
      </c>
      <c r="I8" s="118"/>
      <c r="J8" s="118"/>
    </row>
    <row r="9" spans="2:12" x14ac:dyDescent="0.2">
      <c r="B9" s="114">
        <v>2015</v>
      </c>
      <c r="C9" s="115">
        <v>82</v>
      </c>
      <c r="D9" s="115">
        <v>14</v>
      </c>
      <c r="E9" s="115">
        <v>22.526</v>
      </c>
      <c r="F9" s="115">
        <v>1854943</v>
      </c>
      <c r="G9" s="128">
        <v>0.41784446017999999</v>
      </c>
      <c r="H9" s="128">
        <v>196.245272618131</v>
      </c>
      <c r="I9" s="119"/>
      <c r="J9" s="119">
        <v>-0.33999783249991999</v>
      </c>
    </row>
    <row r="10" spans="2:12" x14ac:dyDescent="0.2">
      <c r="B10" s="116">
        <v>2016</v>
      </c>
      <c r="C10" s="117">
        <v>92</v>
      </c>
      <c r="D10" s="117">
        <v>14</v>
      </c>
      <c r="E10" s="117">
        <v>22.526</v>
      </c>
      <c r="F10" s="117">
        <v>1866042</v>
      </c>
      <c r="G10" s="129">
        <v>0.42034462092000002</v>
      </c>
      <c r="H10" s="129">
        <v>218.86803213668199</v>
      </c>
      <c r="I10" s="120"/>
      <c r="J10" s="120">
        <v>0.115277984619644</v>
      </c>
    </row>
    <row r="11" spans="2:12" x14ac:dyDescent="0.2">
      <c r="B11" s="114">
        <v>2017</v>
      </c>
      <c r="C11" s="115">
        <v>89</v>
      </c>
      <c r="D11" s="115">
        <v>14</v>
      </c>
      <c r="E11" s="115">
        <v>22.526</v>
      </c>
      <c r="F11" s="115">
        <v>1875178</v>
      </c>
      <c r="G11" s="128">
        <v>0.42240259627999999</v>
      </c>
      <c r="H11" s="128">
        <v>210.699462512309</v>
      </c>
      <c r="I11" s="119"/>
      <c r="J11" s="119">
        <v>-3.7321894589299603E-2</v>
      </c>
    </row>
    <row r="12" spans="2:12" x14ac:dyDescent="0.2">
      <c r="B12" s="116">
        <v>2018</v>
      </c>
      <c r="C12" s="117">
        <v>108</v>
      </c>
      <c r="D12" s="117">
        <v>11</v>
      </c>
      <c r="E12" s="117">
        <v>17.699000000000002</v>
      </c>
      <c r="F12" s="117">
        <v>1886259</v>
      </c>
      <c r="G12" s="129">
        <v>0.33384898041</v>
      </c>
      <c r="H12" s="129">
        <v>323.49956518472902</v>
      </c>
      <c r="I12" s="120"/>
      <c r="J12" s="120">
        <v>0.53536018235371297</v>
      </c>
    </row>
    <row r="13" spans="2:12" x14ac:dyDescent="0.2">
      <c r="B13" s="114">
        <v>2019</v>
      </c>
      <c r="C13" s="115">
        <v>87</v>
      </c>
      <c r="D13" s="115">
        <v>12</v>
      </c>
      <c r="E13" s="115">
        <v>19.308</v>
      </c>
      <c r="F13" s="115">
        <v>1898519</v>
      </c>
      <c r="G13" s="128">
        <v>0.36656604852000002</v>
      </c>
      <c r="H13" s="128">
        <v>237.33785589598401</v>
      </c>
      <c r="I13" s="119">
        <v>0.141420619953953</v>
      </c>
      <c r="J13" s="119">
        <v>-0.26634258144842798</v>
      </c>
    </row>
    <row r="14" spans="2:12" x14ac:dyDescent="0.2">
      <c r="B14" s="116">
        <v>2020</v>
      </c>
      <c r="C14" s="117">
        <v>92</v>
      </c>
      <c r="D14" s="117">
        <v>12</v>
      </c>
      <c r="E14" s="117">
        <v>19.308</v>
      </c>
      <c r="F14" s="117">
        <v>1900523</v>
      </c>
      <c r="G14" s="129">
        <v>0.36695298084</v>
      </c>
      <c r="H14" s="129">
        <v>250.713319699436</v>
      </c>
      <c r="I14" s="120">
        <v>0.20574676855369101</v>
      </c>
      <c r="J14" s="120">
        <v>5.6356217397169901E-2</v>
      </c>
    </row>
    <row r="15" spans="2:12" x14ac:dyDescent="0.2">
      <c r="B15" s="114">
        <v>2021</v>
      </c>
      <c r="C15" s="115">
        <v>106</v>
      </c>
      <c r="D15" s="115">
        <v>12</v>
      </c>
      <c r="E15" s="115">
        <v>19.308</v>
      </c>
      <c r="F15" s="115">
        <v>1904564</v>
      </c>
      <c r="G15" s="128">
        <v>0.36773321712000001</v>
      </c>
      <c r="H15" s="128">
        <v>288.25244787557398</v>
      </c>
      <c r="I15" s="119">
        <v>0.386282380091856</v>
      </c>
      <c r="J15" s="119">
        <v>0.14972929328661599</v>
      </c>
    </row>
    <row r="16" spans="2:12" x14ac:dyDescent="0.2">
      <c r="B16" s="116">
        <v>2022</v>
      </c>
      <c r="C16" s="117">
        <v>119</v>
      </c>
      <c r="D16" s="117">
        <v>12</v>
      </c>
      <c r="E16" s="117">
        <v>19.308</v>
      </c>
      <c r="F16" s="117">
        <v>1910543</v>
      </c>
      <c r="G16" s="129">
        <v>0.36888764244</v>
      </c>
      <c r="H16" s="129">
        <v>322.59145145897799</v>
      </c>
      <c r="I16" s="120">
        <v>0.55142774474850498</v>
      </c>
      <c r="J16" s="120">
        <v>0.119128228871888</v>
      </c>
    </row>
    <row r="17" spans="2:17" x14ac:dyDescent="0.2">
      <c r="B17" s="114">
        <v>2023</v>
      </c>
      <c r="C17" s="115">
        <v>116</v>
      </c>
      <c r="D17" s="115">
        <v>12</v>
      </c>
      <c r="E17" s="115">
        <v>19.308</v>
      </c>
      <c r="F17" s="115">
        <v>1920382</v>
      </c>
      <c r="G17" s="128">
        <v>0.37078735656</v>
      </c>
      <c r="H17" s="128">
        <v>312.84777635407102</v>
      </c>
      <c r="I17" s="119">
        <v>0.50456783006322603</v>
      </c>
      <c r="J17" s="119">
        <v>-3.02043809928608E-2</v>
      </c>
    </row>
    <row r="18" spans="2:17" x14ac:dyDescent="0.2">
      <c r="B18" s="116">
        <v>2024</v>
      </c>
      <c r="C18" s="117">
        <v>133</v>
      </c>
      <c r="D18" s="117">
        <v>12</v>
      </c>
      <c r="E18" s="117">
        <v>19.308</v>
      </c>
      <c r="F18" s="117">
        <v>1920382</v>
      </c>
      <c r="G18" s="129">
        <v>0.37078735656</v>
      </c>
      <c r="H18" s="129">
        <v>358.69615737147802</v>
      </c>
      <c r="I18" s="120">
        <v>0.72506483964145796</v>
      </c>
      <c r="J18" s="120">
        <v>0.14655172413793099</v>
      </c>
    </row>
    <row r="19" spans="2:17" ht="30" customHeight="1" x14ac:dyDescent="0.25">
      <c r="B19" s="121" t="s">
        <v>202</v>
      </c>
      <c r="C19" s="122">
        <v>93.6</v>
      </c>
      <c r="D19" s="122">
        <v>15</v>
      </c>
      <c r="E19" s="122">
        <v>24.135000000000002</v>
      </c>
      <c r="F19" s="122">
        <v>1865122</v>
      </c>
      <c r="G19" s="130">
        <v>0.45014719469999998</v>
      </c>
      <c r="H19" s="130">
        <v>207.93198558613599</v>
      </c>
      <c r="I19" s="131"/>
      <c r="J19" s="24"/>
    </row>
    <row r="21" spans="2:17" x14ac:dyDescent="0.2">
      <c r="B21" s="9" t="s">
        <v>313</v>
      </c>
    </row>
    <row r="22" spans="2:17" x14ac:dyDescent="0.2">
      <c r="B22" s="9" t="s">
        <v>314</v>
      </c>
    </row>
    <row r="24" spans="2:17" x14ac:dyDescent="0.2">
      <c r="B24" s="1" t="str">
        <f>HYPERLINK("#'Contents'!A1", "Return to Contents Page")</f>
        <v>Return to Contents Page</v>
      </c>
    </row>
    <row r="28" spans="2:17" x14ac:dyDescent="0.2">
      <c r="B28" t="s">
        <v>43</v>
      </c>
    </row>
    <row r="29" spans="2:17" ht="30" customHeight="1" x14ac:dyDescent="0.25">
      <c r="B29" s="222" t="s">
        <v>364</v>
      </c>
      <c r="C29" s="223"/>
      <c r="D29" s="223"/>
      <c r="E29" s="223"/>
      <c r="F29" s="223"/>
      <c r="G29" s="223"/>
      <c r="H29" s="223"/>
      <c r="I29" s="223"/>
      <c r="L29" s="222" t="s">
        <v>366</v>
      </c>
      <c r="M29" s="223"/>
      <c r="N29" s="223"/>
      <c r="O29" s="223"/>
      <c r="P29" s="223"/>
      <c r="Q29" s="223"/>
    </row>
    <row r="30" spans="2:17" x14ac:dyDescent="0.2">
      <c r="B30" t="s">
        <v>196</v>
      </c>
    </row>
    <row r="32" spans="2:17" ht="45" customHeight="1" thickBot="1" x14ac:dyDescent="0.3">
      <c r="B32" s="110" t="s">
        <v>197</v>
      </c>
      <c r="C32" s="111" t="s">
        <v>359</v>
      </c>
      <c r="D32" s="111" t="s">
        <v>365</v>
      </c>
      <c r="E32" s="111" t="s">
        <v>361</v>
      </c>
      <c r="F32" s="111" t="s">
        <v>308</v>
      </c>
      <c r="G32" s="111" t="s">
        <v>362</v>
      </c>
      <c r="H32" s="111" t="s">
        <v>310</v>
      </c>
      <c r="I32" s="111" t="s">
        <v>199</v>
      </c>
      <c r="J32" s="111" t="s">
        <v>311</v>
      </c>
    </row>
    <row r="33" spans="2:10" ht="15" thickTop="1" x14ac:dyDescent="0.2">
      <c r="B33" s="124" t="s">
        <v>207</v>
      </c>
      <c r="C33" s="113">
        <v>93.6</v>
      </c>
      <c r="D33" s="113">
        <v>15</v>
      </c>
      <c r="E33" s="113">
        <v>24.135000000000002</v>
      </c>
      <c r="F33" s="113">
        <v>1865122</v>
      </c>
      <c r="G33" s="127">
        <v>0.45014719469999998</v>
      </c>
      <c r="H33" s="127">
        <v>207.93198558613599</v>
      </c>
      <c r="I33" s="118"/>
      <c r="J33" s="118"/>
    </row>
    <row r="34" spans="2:10" x14ac:dyDescent="0.2">
      <c r="B34" s="125" t="s">
        <v>208</v>
      </c>
      <c r="C34" s="115">
        <v>91.6</v>
      </c>
      <c r="D34" s="115">
        <v>11</v>
      </c>
      <c r="E34" s="115">
        <v>17.699000000000002</v>
      </c>
      <c r="F34" s="115">
        <v>1876188</v>
      </c>
      <c r="G34" s="128">
        <v>0.33206651411999999</v>
      </c>
      <c r="H34" s="128">
        <v>275.84834996912201</v>
      </c>
      <c r="I34" s="119">
        <v>0.32662778740623799</v>
      </c>
      <c r="J34" s="119">
        <v>0.32662778740623799</v>
      </c>
    </row>
    <row r="35" spans="2:10" x14ac:dyDescent="0.2">
      <c r="B35" s="126" t="s">
        <v>209</v>
      </c>
      <c r="C35" s="117">
        <v>93.6</v>
      </c>
      <c r="D35" s="117">
        <v>11</v>
      </c>
      <c r="E35" s="117">
        <v>17.699000000000002</v>
      </c>
      <c r="F35" s="117">
        <v>1885304</v>
      </c>
      <c r="G35" s="129">
        <v>0.33367995496000002</v>
      </c>
      <c r="H35" s="129">
        <v>280.50830926065203</v>
      </c>
      <c r="I35" s="120">
        <v>0.34903876606541001</v>
      </c>
      <c r="J35" s="120">
        <v>1.6893192553269799E-2</v>
      </c>
    </row>
    <row r="36" spans="2:10" x14ac:dyDescent="0.2">
      <c r="B36" s="125" t="s">
        <v>210</v>
      </c>
      <c r="C36" s="115">
        <v>96.4</v>
      </c>
      <c r="D36" s="115">
        <v>11</v>
      </c>
      <c r="E36" s="115">
        <v>17.699000000000002</v>
      </c>
      <c r="F36" s="115">
        <v>1893008</v>
      </c>
      <c r="G36" s="128">
        <v>0.33504348591999999</v>
      </c>
      <c r="H36" s="128">
        <v>287.72384496685299</v>
      </c>
      <c r="I36" s="119">
        <v>0.38374018867656501</v>
      </c>
      <c r="J36" s="119">
        <v>2.57230729642892E-2</v>
      </c>
    </row>
    <row r="37" spans="2:10" x14ac:dyDescent="0.2">
      <c r="B37" s="126" t="s">
        <v>211</v>
      </c>
      <c r="C37" s="117">
        <v>102.4</v>
      </c>
      <c r="D37" s="117">
        <v>11</v>
      </c>
      <c r="E37" s="117">
        <v>17.699000000000002</v>
      </c>
      <c r="F37" s="117">
        <v>1900081</v>
      </c>
      <c r="G37" s="129">
        <v>0.33629533619000002</v>
      </c>
      <c r="H37" s="129">
        <v>304.49426138382802</v>
      </c>
      <c r="I37" s="120">
        <v>0.46439356371985602</v>
      </c>
      <c r="J37" s="120">
        <v>5.8286501832709697E-2</v>
      </c>
    </row>
    <row r="38" spans="2:10" x14ac:dyDescent="0.2">
      <c r="B38" s="125" t="s">
        <v>212</v>
      </c>
      <c r="C38" s="115">
        <v>104</v>
      </c>
      <c r="D38" s="115">
        <v>11</v>
      </c>
      <c r="E38" s="115">
        <v>17.699000000000002</v>
      </c>
      <c r="F38" s="115">
        <v>1904938</v>
      </c>
      <c r="G38" s="128">
        <v>0.33715497661999999</v>
      </c>
      <c r="H38" s="128">
        <v>308.46348774859098</v>
      </c>
      <c r="I38" s="119">
        <v>0.48348262475861398</v>
      </c>
      <c r="J38" s="119">
        <v>1.30354718237548E-2</v>
      </c>
    </row>
    <row r="39" spans="2:10" x14ac:dyDescent="0.2">
      <c r="B39" s="126" t="s">
        <v>213</v>
      </c>
      <c r="C39" s="117">
        <v>113.2</v>
      </c>
      <c r="D39" s="117">
        <v>11</v>
      </c>
      <c r="E39" s="117">
        <v>17.699000000000002</v>
      </c>
      <c r="F39" s="117">
        <v>1911279</v>
      </c>
      <c r="G39" s="129">
        <v>0.33827727020999998</v>
      </c>
      <c r="H39" s="129">
        <v>334.63673137047101</v>
      </c>
      <c r="I39" s="120">
        <v>0.609356686645246</v>
      </c>
      <c r="J39" s="120">
        <v>8.4850378282734201E-2</v>
      </c>
    </row>
    <row r="40" spans="2:10" ht="30" customHeight="1" x14ac:dyDescent="0.25">
      <c r="B40" s="121" t="s">
        <v>222</v>
      </c>
      <c r="C40" s="122">
        <v>93.6</v>
      </c>
      <c r="D40" s="122">
        <v>15</v>
      </c>
      <c r="E40" s="122">
        <v>24.135000000000002</v>
      </c>
      <c r="F40" s="122">
        <v>1865122</v>
      </c>
      <c r="G40" s="130">
        <v>0.45014719469999998</v>
      </c>
      <c r="H40" s="130">
        <v>207.93198558613599</v>
      </c>
      <c r="I40" s="131"/>
      <c r="J40" s="24"/>
    </row>
    <row r="41" spans="2:10" x14ac:dyDescent="0.2">
      <c r="C41" s="7"/>
      <c r="D41" s="7"/>
      <c r="E41" s="7"/>
      <c r="F41" s="7"/>
      <c r="G41" s="21"/>
      <c r="H41" s="21"/>
      <c r="I41" s="8"/>
      <c r="J41" s="8"/>
    </row>
    <row r="42" spans="2:10" x14ac:dyDescent="0.2">
      <c r="B42" s="9" t="s">
        <v>313</v>
      </c>
      <c r="C42" s="7"/>
      <c r="D42" s="7"/>
      <c r="E42" s="7"/>
      <c r="F42" s="7"/>
      <c r="G42" s="21"/>
      <c r="H42" s="21"/>
      <c r="I42" s="8"/>
      <c r="J42" s="8"/>
    </row>
    <row r="43" spans="2:10" x14ac:dyDescent="0.2">
      <c r="B43" s="9" t="s">
        <v>314</v>
      </c>
      <c r="C43" s="7"/>
      <c r="D43" s="7"/>
      <c r="E43" s="7"/>
      <c r="F43" s="7"/>
      <c r="G43" s="21"/>
      <c r="H43" s="21"/>
      <c r="I43" s="8"/>
      <c r="J43" s="8"/>
    </row>
    <row r="44" spans="2:10"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7" x14ac:dyDescent="0.2">
      <c r="B49" t="s">
        <v>45</v>
      </c>
      <c r="C49" s="7"/>
      <c r="D49" s="7"/>
      <c r="E49" s="7"/>
      <c r="F49" s="7"/>
      <c r="G49" s="21"/>
      <c r="H49" s="21"/>
      <c r="I49" s="8"/>
      <c r="J49" s="8"/>
    </row>
    <row r="50" spans="2:17" ht="30" customHeight="1" x14ac:dyDescent="0.25">
      <c r="B50" s="222" t="s">
        <v>367</v>
      </c>
      <c r="C50" s="227"/>
      <c r="D50" s="227"/>
      <c r="E50" s="227"/>
      <c r="F50" s="227"/>
      <c r="G50" s="228"/>
      <c r="H50" s="228"/>
      <c r="I50" s="229"/>
      <c r="J50" s="8"/>
      <c r="L50" s="222" t="s">
        <v>369</v>
      </c>
      <c r="M50" s="223"/>
      <c r="N50" s="223"/>
      <c r="O50" s="223"/>
      <c r="P50" s="223"/>
      <c r="Q50" s="223"/>
    </row>
    <row r="51" spans="2:17" x14ac:dyDescent="0.2">
      <c r="B51" s="13" t="s">
        <v>196</v>
      </c>
      <c r="C51" s="7"/>
      <c r="D51" s="7"/>
      <c r="E51" s="7"/>
      <c r="F51" s="7"/>
      <c r="G51" s="21"/>
      <c r="H51" s="21"/>
      <c r="I51" s="8"/>
      <c r="J51" s="8"/>
    </row>
    <row r="52" spans="2:17" x14ac:dyDescent="0.2">
      <c r="B52" s="13"/>
      <c r="G52" s="21"/>
      <c r="H52" s="21"/>
      <c r="I52" s="8"/>
      <c r="J52" s="8"/>
    </row>
    <row r="53" spans="2:17" ht="45" customHeight="1" thickBot="1" x14ac:dyDescent="0.3">
      <c r="B53" s="110" t="s">
        <v>197</v>
      </c>
      <c r="C53" s="111" t="s">
        <v>318</v>
      </c>
      <c r="D53" s="111" t="s">
        <v>319</v>
      </c>
      <c r="E53" s="111" t="s">
        <v>320</v>
      </c>
      <c r="F53" s="111" t="s">
        <v>368</v>
      </c>
      <c r="G53" s="111" t="s">
        <v>322</v>
      </c>
      <c r="H53" s="111" t="s">
        <v>323</v>
      </c>
      <c r="I53" s="8"/>
      <c r="J53" s="8"/>
    </row>
    <row r="54" spans="2:17" ht="15" thickTop="1" x14ac:dyDescent="0.2">
      <c r="B54" s="112">
        <v>2014</v>
      </c>
      <c r="C54" s="127">
        <v>1090.24793407171</v>
      </c>
      <c r="D54" s="127">
        <v>792.907588415791</v>
      </c>
      <c r="E54" s="127">
        <v>125.19593501302001</v>
      </c>
      <c r="F54" s="127">
        <v>97</v>
      </c>
      <c r="G54" s="127">
        <v>297.34034565592202</v>
      </c>
      <c r="H54" s="127">
        <v>172.14441064290199</v>
      </c>
    </row>
    <row r="55" spans="2:17" x14ac:dyDescent="0.2">
      <c r="B55" s="114">
        <v>2015</v>
      </c>
      <c r="C55" s="128">
        <v>549.48676333076799</v>
      </c>
      <c r="D55" s="128">
        <v>353.24149071263599</v>
      </c>
      <c r="E55" s="128">
        <v>76.791628415790498</v>
      </c>
      <c r="F55" s="128">
        <v>82</v>
      </c>
      <c r="G55" s="128">
        <v>196.245272618131</v>
      </c>
      <c r="H55" s="128">
        <v>119.453644202341</v>
      </c>
    </row>
    <row r="56" spans="2:17" x14ac:dyDescent="0.2">
      <c r="B56" s="116">
        <v>2016</v>
      </c>
      <c r="C56" s="129">
        <v>612.83048998270999</v>
      </c>
      <c r="D56" s="129">
        <v>393.96245784602797</v>
      </c>
      <c r="E56" s="129">
        <v>85.6440125752234</v>
      </c>
      <c r="F56" s="129">
        <v>92</v>
      </c>
      <c r="G56" s="129">
        <v>218.86803213668199</v>
      </c>
      <c r="H56" s="129">
        <v>133.22401956145899</v>
      </c>
    </row>
    <row r="57" spans="2:17" x14ac:dyDescent="0.2">
      <c r="B57" s="114">
        <v>2017</v>
      </c>
      <c r="C57" s="128">
        <v>589.95849503446595</v>
      </c>
      <c r="D57" s="128">
        <v>379.25903252215699</v>
      </c>
      <c r="E57" s="128">
        <v>82.447615765686294</v>
      </c>
      <c r="F57" s="128">
        <v>89</v>
      </c>
      <c r="G57" s="128">
        <v>210.699462512309</v>
      </c>
      <c r="H57" s="128">
        <v>128.25184674662299</v>
      </c>
    </row>
    <row r="58" spans="2:17" x14ac:dyDescent="0.2">
      <c r="B58" s="116">
        <v>2018</v>
      </c>
      <c r="C58" s="129">
        <v>1186.16507234401</v>
      </c>
      <c r="D58" s="129">
        <v>862.66550715927701</v>
      </c>
      <c r="E58" s="129">
        <v>136.210343235675</v>
      </c>
      <c r="F58" s="129">
        <v>108</v>
      </c>
      <c r="G58" s="129">
        <v>323.49956518472902</v>
      </c>
      <c r="H58" s="129">
        <v>187.289221949053</v>
      </c>
    </row>
    <row r="59" spans="2:17" x14ac:dyDescent="0.2">
      <c r="B59" s="114">
        <v>2019</v>
      </c>
      <c r="C59" s="128">
        <v>712.01356768795199</v>
      </c>
      <c r="D59" s="128">
        <v>474.67571179196801</v>
      </c>
      <c r="E59" s="128">
        <v>94.935142358393605</v>
      </c>
      <c r="F59" s="128">
        <v>87</v>
      </c>
      <c r="G59" s="128">
        <v>237.33785589598401</v>
      </c>
      <c r="H59" s="128">
        <v>142.40271353758999</v>
      </c>
    </row>
    <row r="60" spans="2:17" x14ac:dyDescent="0.2">
      <c r="B60" s="116">
        <v>2020</v>
      </c>
      <c r="C60" s="129">
        <v>752.13995909830896</v>
      </c>
      <c r="D60" s="129">
        <v>501.426639398872</v>
      </c>
      <c r="E60" s="129">
        <v>100.285327879774</v>
      </c>
      <c r="F60" s="129">
        <v>92</v>
      </c>
      <c r="G60" s="129">
        <v>250.713319699436</v>
      </c>
      <c r="H60" s="129">
        <v>150.427991819662</v>
      </c>
    </row>
    <row r="61" spans="2:17" x14ac:dyDescent="0.2">
      <c r="B61" s="114">
        <v>2021</v>
      </c>
      <c r="C61" s="128">
        <v>864.75734362672301</v>
      </c>
      <c r="D61" s="128">
        <v>576.50489575114796</v>
      </c>
      <c r="E61" s="128">
        <v>115.30097915023001</v>
      </c>
      <c r="F61" s="128">
        <v>106</v>
      </c>
      <c r="G61" s="128">
        <v>288.25244787557398</v>
      </c>
      <c r="H61" s="128">
        <v>172.95146872534499</v>
      </c>
    </row>
    <row r="62" spans="2:17" x14ac:dyDescent="0.2">
      <c r="B62" s="116">
        <v>2022</v>
      </c>
      <c r="C62" s="129">
        <v>967.77435437693305</v>
      </c>
      <c r="D62" s="129">
        <v>645.18290291795597</v>
      </c>
      <c r="E62" s="129">
        <v>129.03658058359099</v>
      </c>
      <c r="F62" s="129">
        <v>119</v>
      </c>
      <c r="G62" s="129">
        <v>322.59145145897799</v>
      </c>
      <c r="H62" s="129">
        <v>193.554870875387</v>
      </c>
    </row>
    <row r="63" spans="2:17" x14ac:dyDescent="0.2">
      <c r="B63" s="114">
        <v>2023</v>
      </c>
      <c r="C63" s="128">
        <v>938.54332906221305</v>
      </c>
      <c r="D63" s="128">
        <v>625.69555270814203</v>
      </c>
      <c r="E63" s="128">
        <v>125.139110541628</v>
      </c>
      <c r="F63" s="128">
        <v>116</v>
      </c>
      <c r="G63" s="128">
        <v>312.84777635407102</v>
      </c>
      <c r="H63" s="128">
        <v>187.708665812443</v>
      </c>
    </row>
    <row r="64" spans="2:17" x14ac:dyDescent="0.2">
      <c r="B64" s="116">
        <v>2024</v>
      </c>
      <c r="C64" s="129">
        <v>1076.08847211443</v>
      </c>
      <c r="D64" s="129">
        <v>717.39231474295605</v>
      </c>
      <c r="E64" s="129">
        <v>143.47846294859099</v>
      </c>
      <c r="F64" s="129">
        <v>133</v>
      </c>
      <c r="G64" s="129">
        <v>358.69615737147802</v>
      </c>
      <c r="H64" s="129">
        <v>215.21769442288701</v>
      </c>
    </row>
    <row r="65" spans="2:17" ht="30" customHeight="1" x14ac:dyDescent="0.25">
      <c r="B65" s="15" t="s">
        <v>202</v>
      </c>
      <c r="C65" s="23">
        <v>389.87</v>
      </c>
      <c r="D65" s="23">
        <v>181.94</v>
      </c>
      <c r="E65" s="23">
        <v>66.16</v>
      </c>
      <c r="F65" s="23">
        <v>94</v>
      </c>
      <c r="G65" s="23">
        <v>207.93</v>
      </c>
      <c r="H65" s="23">
        <v>141.77000000000001</v>
      </c>
    </row>
    <row r="67" spans="2:17" x14ac:dyDescent="0.2">
      <c r="B67" s="9" t="s">
        <v>325</v>
      </c>
    </row>
    <row r="68" spans="2:17" x14ac:dyDescent="0.2">
      <c r="B68" s="9" t="s">
        <v>326</v>
      </c>
    </row>
    <row r="71" spans="2:17" x14ac:dyDescent="0.2">
      <c r="B71" s="1" t="str">
        <f>HYPERLINK("#'Contents'!A1", "Return to Contents Page")</f>
        <v>Return to Contents Page</v>
      </c>
    </row>
    <row r="73" spans="2:17" x14ac:dyDescent="0.2">
      <c r="B73" t="s">
        <v>47</v>
      </c>
    </row>
    <row r="74" spans="2:17" ht="30" customHeight="1" x14ac:dyDescent="0.25">
      <c r="B74" s="222" t="s">
        <v>370</v>
      </c>
      <c r="C74" s="223"/>
      <c r="D74" s="223"/>
      <c r="E74" s="223"/>
      <c r="F74" s="223"/>
      <c r="G74" s="223"/>
      <c r="H74" s="223"/>
      <c r="I74" s="223"/>
      <c r="L74" s="222" t="s">
        <v>371</v>
      </c>
      <c r="M74" s="223"/>
      <c r="N74" s="223"/>
      <c r="O74" s="223"/>
      <c r="P74" s="223"/>
      <c r="Q74" s="223"/>
    </row>
    <row r="75" spans="2:17" x14ac:dyDescent="0.2">
      <c r="B75" t="s">
        <v>196</v>
      </c>
    </row>
    <row r="77" spans="2:17" ht="45" customHeight="1" thickBot="1" x14ac:dyDescent="0.3">
      <c r="B77" s="110" t="s">
        <v>197</v>
      </c>
      <c r="C77" s="111" t="s">
        <v>318</v>
      </c>
      <c r="D77" s="111" t="s">
        <v>319</v>
      </c>
      <c r="E77" s="111" t="s">
        <v>320</v>
      </c>
      <c r="F77" s="111" t="s">
        <v>368</v>
      </c>
      <c r="G77" s="111" t="s">
        <v>322</v>
      </c>
      <c r="H77" s="111" t="s">
        <v>323</v>
      </c>
    </row>
    <row r="78" spans="2:17" ht="15" thickTop="1" x14ac:dyDescent="0.2">
      <c r="B78" s="112" t="s">
        <v>207</v>
      </c>
      <c r="C78" s="127">
        <v>389.87247297400501</v>
      </c>
      <c r="D78" s="127">
        <v>181.94048738786901</v>
      </c>
      <c r="E78" s="127">
        <v>66.160177231952403</v>
      </c>
      <c r="F78" s="127">
        <v>93.6</v>
      </c>
      <c r="G78" s="127">
        <v>207.93198558613599</v>
      </c>
      <c r="H78" s="127">
        <v>141.771808354184</v>
      </c>
    </row>
    <row r="79" spans="2:17" x14ac:dyDescent="0.2">
      <c r="B79" s="114" t="s">
        <v>208</v>
      </c>
      <c r="C79" s="128">
        <v>606.86636993206696</v>
      </c>
      <c r="D79" s="128">
        <v>331.01801996294603</v>
      </c>
      <c r="E79" s="128">
        <v>97.358241165572394</v>
      </c>
      <c r="F79" s="128">
        <v>91.6</v>
      </c>
      <c r="G79" s="128">
        <v>275.84834996912201</v>
      </c>
      <c r="H79" s="128">
        <v>178.49010880354899</v>
      </c>
    </row>
    <row r="80" spans="2:17" x14ac:dyDescent="0.2">
      <c r="B80" s="116" t="s">
        <v>209</v>
      </c>
      <c r="C80" s="129">
        <v>617.118280373434</v>
      </c>
      <c r="D80" s="129">
        <v>336.60997111278198</v>
      </c>
      <c r="E80" s="129">
        <v>99.002932680230003</v>
      </c>
      <c r="F80" s="129">
        <v>93.6</v>
      </c>
      <c r="G80" s="129">
        <v>280.50830926065203</v>
      </c>
      <c r="H80" s="129">
        <v>181.50537658042199</v>
      </c>
    </row>
    <row r="81" spans="2:8" x14ac:dyDescent="0.2">
      <c r="B81" s="114" t="s">
        <v>210</v>
      </c>
      <c r="C81" s="128">
        <v>632.99245892707597</v>
      </c>
      <c r="D81" s="128">
        <v>345.26861396022298</v>
      </c>
      <c r="E81" s="128">
        <v>101.549592341242</v>
      </c>
      <c r="F81" s="128">
        <v>96.4</v>
      </c>
      <c r="G81" s="128">
        <v>287.72384496685299</v>
      </c>
      <c r="H81" s="128">
        <v>186.17425262561099</v>
      </c>
    </row>
    <row r="82" spans="2:8" x14ac:dyDescent="0.2">
      <c r="B82" s="116" t="s">
        <v>211</v>
      </c>
      <c r="C82" s="129">
        <v>669.88737504442099</v>
      </c>
      <c r="D82" s="129">
        <v>365.39311366059297</v>
      </c>
      <c r="E82" s="129">
        <v>107.468562841351</v>
      </c>
      <c r="F82" s="129">
        <v>102.4</v>
      </c>
      <c r="G82" s="129">
        <v>304.49426138382802</v>
      </c>
      <c r="H82" s="129">
        <v>197.02569854247699</v>
      </c>
    </row>
    <row r="83" spans="2:8" x14ac:dyDescent="0.2">
      <c r="B83" s="114" t="s">
        <v>212</v>
      </c>
      <c r="C83" s="128">
        <v>678.61967304690097</v>
      </c>
      <c r="D83" s="128">
        <v>370.15618529830999</v>
      </c>
      <c r="E83" s="128">
        <v>108.869466264209</v>
      </c>
      <c r="F83" s="128">
        <v>104</v>
      </c>
      <c r="G83" s="128">
        <v>308.46348774859098</v>
      </c>
      <c r="H83" s="128">
        <v>199.59402148438301</v>
      </c>
    </row>
    <row r="84" spans="2:8" x14ac:dyDescent="0.2">
      <c r="B84" s="116" t="s">
        <v>213</v>
      </c>
      <c r="C84" s="129">
        <v>736.20080901503604</v>
      </c>
      <c r="D84" s="129">
        <v>401.56407764456497</v>
      </c>
      <c r="E84" s="129">
        <v>118.107081660166</v>
      </c>
      <c r="F84" s="129">
        <v>113.2</v>
      </c>
      <c r="G84" s="129">
        <v>334.63673137047101</v>
      </c>
      <c r="H84" s="129">
        <v>216.52964971030499</v>
      </c>
    </row>
    <row r="85" spans="2:8" ht="30" x14ac:dyDescent="0.25">
      <c r="B85" s="15" t="s">
        <v>202</v>
      </c>
      <c r="C85" s="23">
        <v>389.87</v>
      </c>
      <c r="D85" s="23">
        <v>181.94</v>
      </c>
      <c r="E85" s="23">
        <v>66.16</v>
      </c>
      <c r="F85" s="23">
        <v>94</v>
      </c>
      <c r="G85" s="23">
        <v>207.93</v>
      </c>
      <c r="H85" s="23">
        <v>141.77000000000001</v>
      </c>
    </row>
    <row r="87" spans="2:8" x14ac:dyDescent="0.2">
      <c r="B87" s="9" t="s">
        <v>325</v>
      </c>
    </row>
    <row r="88" spans="2:8" x14ac:dyDescent="0.2">
      <c r="B88" s="9" t="s">
        <v>326</v>
      </c>
    </row>
    <row r="91" spans="2:8" x14ac:dyDescent="0.2">
      <c r="B91" s="1" t="str">
        <f>HYPERLINK("#'Contents'!A1", "Return to Contents Page")</f>
        <v>Return to Contents Page</v>
      </c>
    </row>
    <row r="92" spans="2:8" ht="30" customHeight="1" x14ac:dyDescent="0.2"/>
  </sheetData>
  <mergeCells count="6">
    <mergeCell ref="B29:I29"/>
    <mergeCell ref="L29:Q29"/>
    <mergeCell ref="B50:I50"/>
    <mergeCell ref="L50:Q50"/>
    <mergeCell ref="B74:I74"/>
    <mergeCell ref="L74:Q74"/>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Q71"/>
  <sheetViews>
    <sheetView showGridLines="0" workbookViewId="0"/>
  </sheetViews>
  <sheetFormatPr defaultColWidth="11" defaultRowHeight="14.25" x14ac:dyDescent="0.2"/>
  <cols>
    <col min="2" max="2" width="12.75" customWidth="1"/>
    <col min="4" max="6" width="0.75" hidden="1" customWidth="1"/>
    <col min="7" max="7" width="13.5" customWidth="1"/>
    <col min="9" max="11" width="12.75" customWidth="1"/>
  </cols>
  <sheetData>
    <row r="1" spans="2:12" ht="15" x14ac:dyDescent="0.25">
      <c r="B1" s="6" t="s">
        <v>372</v>
      </c>
    </row>
    <row r="3" spans="2:12" x14ac:dyDescent="0.2">
      <c r="B3" t="s">
        <v>49</v>
      </c>
    </row>
    <row r="4" spans="2:12" ht="15" x14ac:dyDescent="0.25">
      <c r="B4" s="6" t="s">
        <v>373</v>
      </c>
      <c r="L4" s="6" t="s">
        <v>376</v>
      </c>
    </row>
    <row r="5" spans="2:12" x14ac:dyDescent="0.2">
      <c r="B5" t="s">
        <v>196</v>
      </c>
    </row>
    <row r="7" spans="2:12" ht="45" customHeight="1" thickBot="1" x14ac:dyDescent="0.3">
      <c r="B7" s="110" t="s">
        <v>197</v>
      </c>
      <c r="C7" s="111" t="s">
        <v>374</v>
      </c>
      <c r="D7" s="111" t="s">
        <v>306</v>
      </c>
      <c r="E7" s="111" t="s">
        <v>307</v>
      </c>
      <c r="F7" s="111" t="s">
        <v>308</v>
      </c>
      <c r="G7" s="111" t="s">
        <v>375</v>
      </c>
      <c r="H7" s="111" t="s">
        <v>310</v>
      </c>
      <c r="I7" s="111" t="s">
        <v>199</v>
      </c>
      <c r="J7" s="111" t="s">
        <v>311</v>
      </c>
    </row>
    <row r="8" spans="2:12" ht="15" thickTop="1" x14ac:dyDescent="0.2">
      <c r="B8" s="112">
        <v>2014</v>
      </c>
      <c r="C8" s="113">
        <v>448</v>
      </c>
      <c r="D8" s="113">
        <v>4855</v>
      </c>
      <c r="E8" s="113">
        <v>7811.6949999999997</v>
      </c>
      <c r="F8" s="113">
        <v>1843186</v>
      </c>
      <c r="G8" s="127">
        <v>143.98406860270001</v>
      </c>
      <c r="H8" s="127">
        <v>3.1114553460506902</v>
      </c>
      <c r="I8" s="118"/>
      <c r="J8" s="118"/>
    </row>
    <row r="9" spans="2:12" x14ac:dyDescent="0.2">
      <c r="B9" s="114">
        <v>2015</v>
      </c>
      <c r="C9" s="115">
        <v>458</v>
      </c>
      <c r="D9" s="115">
        <v>4747</v>
      </c>
      <c r="E9" s="115">
        <v>7637.9229999999998</v>
      </c>
      <c r="F9" s="115">
        <v>1854943</v>
      </c>
      <c r="G9" s="128">
        <v>141.67911803389001</v>
      </c>
      <c r="H9" s="128">
        <v>3.2326570517642899</v>
      </c>
      <c r="I9" s="119"/>
      <c r="J9" s="119">
        <v>3.89533810496243E-2</v>
      </c>
    </row>
    <row r="10" spans="2:12" x14ac:dyDescent="0.2">
      <c r="B10" s="116">
        <v>2016</v>
      </c>
      <c r="C10" s="117">
        <v>547</v>
      </c>
      <c r="D10" s="117">
        <v>4653</v>
      </c>
      <c r="E10" s="117">
        <v>7486.6769999999997</v>
      </c>
      <c r="F10" s="117">
        <v>1866042</v>
      </c>
      <c r="G10" s="129">
        <v>139.70453722433999</v>
      </c>
      <c r="H10" s="129">
        <v>3.9154061197140502</v>
      </c>
      <c r="I10" s="120"/>
      <c r="J10" s="120">
        <v>0.21120368075454601</v>
      </c>
    </row>
    <row r="11" spans="2:12" x14ac:dyDescent="0.2">
      <c r="B11" s="114">
        <v>2017</v>
      </c>
      <c r="C11" s="115">
        <v>485</v>
      </c>
      <c r="D11" s="115">
        <v>4614</v>
      </c>
      <c r="E11" s="115">
        <v>7423.9260000000004</v>
      </c>
      <c r="F11" s="115">
        <v>1875178</v>
      </c>
      <c r="G11" s="128">
        <v>139.21182708827999</v>
      </c>
      <c r="H11" s="128">
        <v>3.4838993937809701</v>
      </c>
      <c r="I11" s="119"/>
      <c r="J11" s="119">
        <v>-0.11020739937051401</v>
      </c>
    </row>
    <row r="12" spans="2:12" x14ac:dyDescent="0.2">
      <c r="B12" s="116">
        <v>2018</v>
      </c>
      <c r="C12" s="117">
        <v>446</v>
      </c>
      <c r="D12" s="117">
        <v>4827</v>
      </c>
      <c r="E12" s="117">
        <v>7766.643</v>
      </c>
      <c r="F12" s="117">
        <v>1886259</v>
      </c>
      <c r="G12" s="129">
        <v>146.49900258536999</v>
      </c>
      <c r="H12" s="129">
        <v>3.0443893277710199</v>
      </c>
      <c r="I12" s="120"/>
      <c r="J12" s="120">
        <v>-0.12615463775862901</v>
      </c>
    </row>
    <row r="13" spans="2:12" x14ac:dyDescent="0.2">
      <c r="B13" s="114">
        <v>2019</v>
      </c>
      <c r="C13" s="115">
        <v>479</v>
      </c>
      <c r="D13" s="115">
        <v>5078</v>
      </c>
      <c r="E13" s="115">
        <v>8170.5020000000004</v>
      </c>
      <c r="F13" s="115">
        <v>1898519</v>
      </c>
      <c r="G13" s="128">
        <v>155.11853286537999</v>
      </c>
      <c r="H13" s="128">
        <v>3.08796112980066</v>
      </c>
      <c r="I13" s="119">
        <v>-7.46691349174219E-2</v>
      </c>
      <c r="J13" s="119">
        <v>1.43121648838326E-2</v>
      </c>
    </row>
    <row r="14" spans="2:12" x14ac:dyDescent="0.2">
      <c r="B14" s="116">
        <v>2020</v>
      </c>
      <c r="C14" s="117">
        <v>361</v>
      </c>
      <c r="D14" s="117">
        <v>5078</v>
      </c>
      <c r="E14" s="117">
        <v>8170.5020000000004</v>
      </c>
      <c r="F14" s="117">
        <v>1900523</v>
      </c>
      <c r="G14" s="129">
        <v>155.28226972546</v>
      </c>
      <c r="H14" s="129">
        <v>2.3247985789894101</v>
      </c>
      <c r="I14" s="120">
        <v>-0.303356554757576</v>
      </c>
      <c r="J14" s="120">
        <v>-0.247141242629733</v>
      </c>
    </row>
    <row r="15" spans="2:12" x14ac:dyDescent="0.2">
      <c r="B15" s="114">
        <v>2021</v>
      </c>
      <c r="C15" s="115">
        <v>498</v>
      </c>
      <c r="D15" s="115">
        <v>5078</v>
      </c>
      <c r="E15" s="115">
        <v>8170.5020000000004</v>
      </c>
      <c r="F15" s="115">
        <v>1904564</v>
      </c>
      <c r="G15" s="128">
        <v>155.61243971127999</v>
      </c>
      <c r="H15" s="128">
        <v>3.20025828863026</v>
      </c>
      <c r="I15" s="119">
        <v>-4.1018443487632998E-2</v>
      </c>
      <c r="J15" s="119">
        <v>0.376574434255464</v>
      </c>
    </row>
    <row r="16" spans="2:12" x14ac:dyDescent="0.2">
      <c r="B16" s="116">
        <v>2022</v>
      </c>
      <c r="C16" s="117">
        <v>553</v>
      </c>
      <c r="D16" s="117">
        <v>5078</v>
      </c>
      <c r="E16" s="117">
        <v>8170.5020000000004</v>
      </c>
      <c r="F16" s="117">
        <v>1910543</v>
      </c>
      <c r="G16" s="129">
        <v>156.10095402586001</v>
      </c>
      <c r="H16" s="129">
        <v>3.5425792459179299</v>
      </c>
      <c r="I16" s="120">
        <v>6.1560615712941601E-2</v>
      </c>
      <c r="J16" s="120">
        <v>0.10696666531693801</v>
      </c>
    </row>
    <row r="17" spans="2:17" x14ac:dyDescent="0.2">
      <c r="B17" s="114">
        <v>2023</v>
      </c>
      <c r="C17" s="115">
        <v>522</v>
      </c>
      <c r="D17" s="115">
        <v>5078</v>
      </c>
      <c r="E17" s="115">
        <v>8170.5020000000004</v>
      </c>
      <c r="F17" s="115">
        <v>1920382</v>
      </c>
      <c r="G17" s="128">
        <v>156.90484971763999</v>
      </c>
      <c r="H17" s="128">
        <v>3.3268570151870498</v>
      </c>
      <c r="I17" s="119">
        <v>-3.0821793188190601E-3</v>
      </c>
      <c r="J17" s="119">
        <v>-6.0894115771567801E-2</v>
      </c>
    </row>
    <row r="18" spans="2:17" x14ac:dyDescent="0.2">
      <c r="B18" s="116">
        <v>2024</v>
      </c>
      <c r="C18" s="117">
        <v>597</v>
      </c>
      <c r="D18" s="117">
        <v>5078</v>
      </c>
      <c r="E18" s="117">
        <v>8170.5020000000004</v>
      </c>
      <c r="F18" s="117">
        <v>1920382</v>
      </c>
      <c r="G18" s="129">
        <v>156.90484971763999</v>
      </c>
      <c r="H18" s="129">
        <v>3.80485371277139</v>
      </c>
      <c r="I18" s="120">
        <v>0.140153139744569</v>
      </c>
      <c r="J18" s="120">
        <v>0.14367816091954</v>
      </c>
    </row>
    <row r="19" spans="2:17" ht="30" customHeight="1" x14ac:dyDescent="0.25">
      <c r="B19" s="121" t="s">
        <v>202</v>
      </c>
      <c r="C19" s="122">
        <v>476.8</v>
      </c>
      <c r="D19" s="122">
        <v>4761</v>
      </c>
      <c r="E19" s="122">
        <v>7660.4489999999996</v>
      </c>
      <c r="F19" s="122">
        <v>1865122</v>
      </c>
      <c r="G19" s="130">
        <v>142.87671959778001</v>
      </c>
      <c r="H19" s="130">
        <v>3.3371426873619798</v>
      </c>
      <c r="I19" s="131"/>
      <c r="J19" s="24"/>
    </row>
    <row r="21" spans="2:17" ht="45" customHeight="1" x14ac:dyDescent="0.2">
      <c r="B21" s="230" t="s">
        <v>377</v>
      </c>
      <c r="C21" s="223"/>
      <c r="D21" s="223"/>
      <c r="E21" s="223"/>
      <c r="F21" s="223"/>
      <c r="G21" s="223"/>
      <c r="H21" s="223"/>
      <c r="I21" s="223"/>
    </row>
    <row r="22" spans="2:17" x14ac:dyDescent="0.2">
      <c r="B22" s="9" t="s">
        <v>314</v>
      </c>
    </row>
    <row r="24" spans="2:17" x14ac:dyDescent="0.2">
      <c r="B24" s="1" t="str">
        <f>HYPERLINK("#'Contents'!A1", "Return to Contents Page")</f>
        <v>Return to Contents Page</v>
      </c>
    </row>
    <row r="28" spans="2:17" x14ac:dyDescent="0.2">
      <c r="B28" t="s">
        <v>51</v>
      </c>
    </row>
    <row r="29" spans="2:17" ht="30" customHeight="1" x14ac:dyDescent="0.25">
      <c r="B29" s="222" t="s">
        <v>378</v>
      </c>
      <c r="C29" s="223"/>
      <c r="D29" s="223"/>
      <c r="E29" s="223"/>
      <c r="F29" s="223"/>
      <c r="G29" s="223"/>
      <c r="H29" s="223"/>
      <c r="I29" s="223"/>
      <c r="L29" s="222" t="s">
        <v>379</v>
      </c>
      <c r="M29" s="223"/>
      <c r="N29" s="223"/>
      <c r="O29" s="223"/>
      <c r="P29" s="223"/>
      <c r="Q29" s="223"/>
    </row>
    <row r="30" spans="2:17" x14ac:dyDescent="0.2">
      <c r="B30" t="s">
        <v>196</v>
      </c>
    </row>
    <row r="32" spans="2:17" ht="45" customHeight="1" thickBot="1" x14ac:dyDescent="0.3">
      <c r="B32" s="110" t="s">
        <v>197</v>
      </c>
      <c r="C32" s="111" t="s">
        <v>374</v>
      </c>
      <c r="D32" s="111" t="s">
        <v>306</v>
      </c>
      <c r="E32" s="111" t="s">
        <v>307</v>
      </c>
      <c r="F32" s="111" t="s">
        <v>308</v>
      </c>
      <c r="G32" s="111" t="s">
        <v>375</v>
      </c>
      <c r="H32" s="111" t="s">
        <v>310</v>
      </c>
      <c r="I32" s="111" t="s">
        <v>199</v>
      </c>
      <c r="J32" s="111" t="s">
        <v>311</v>
      </c>
    </row>
    <row r="33" spans="2:10" ht="15" thickTop="1" x14ac:dyDescent="0.2">
      <c r="B33" s="124" t="s">
        <v>207</v>
      </c>
      <c r="C33" s="113">
        <v>476.8</v>
      </c>
      <c r="D33" s="113">
        <v>4761</v>
      </c>
      <c r="E33" s="113">
        <v>7660.4489999999996</v>
      </c>
      <c r="F33" s="113">
        <v>1865122</v>
      </c>
      <c r="G33" s="127">
        <v>142.87671959778001</v>
      </c>
      <c r="H33" s="127">
        <v>3.3371426873619798</v>
      </c>
      <c r="I33" s="118"/>
      <c r="J33" s="118"/>
    </row>
    <row r="34" spans="2:10" x14ac:dyDescent="0.2">
      <c r="B34" s="125" t="s">
        <v>208</v>
      </c>
      <c r="C34" s="115">
        <v>483</v>
      </c>
      <c r="D34" s="115">
        <v>4875</v>
      </c>
      <c r="E34" s="115">
        <v>7843.875</v>
      </c>
      <c r="F34" s="115">
        <v>1876188</v>
      </c>
      <c r="G34" s="128">
        <v>147.16584148499999</v>
      </c>
      <c r="H34" s="128">
        <v>3.2820116076272399</v>
      </c>
      <c r="I34" s="119">
        <v>-1.6520444254161101E-2</v>
      </c>
      <c r="J34" s="119">
        <v>-1.6520444254161101E-2</v>
      </c>
    </row>
    <row r="35" spans="2:10" x14ac:dyDescent="0.2">
      <c r="B35" s="126" t="s">
        <v>209</v>
      </c>
      <c r="C35" s="117">
        <v>463.6</v>
      </c>
      <c r="D35" s="117">
        <v>4875</v>
      </c>
      <c r="E35" s="117">
        <v>7843.875</v>
      </c>
      <c r="F35" s="117">
        <v>1885304</v>
      </c>
      <c r="G35" s="129">
        <v>147.88088913000001</v>
      </c>
      <c r="H35" s="129">
        <v>3.1349554545378502</v>
      </c>
      <c r="I35" s="120">
        <v>-6.0586930726646802E-2</v>
      </c>
      <c r="J35" s="120">
        <v>-4.4806713281464301E-2</v>
      </c>
    </row>
    <row r="36" spans="2:10" x14ac:dyDescent="0.2">
      <c r="B36" s="125" t="s">
        <v>210</v>
      </c>
      <c r="C36" s="115">
        <v>453.8</v>
      </c>
      <c r="D36" s="115">
        <v>4875</v>
      </c>
      <c r="E36" s="115">
        <v>7843.875</v>
      </c>
      <c r="F36" s="115">
        <v>1893008</v>
      </c>
      <c r="G36" s="128">
        <v>148.48518125999999</v>
      </c>
      <c r="H36" s="128">
        <v>3.05619723227053</v>
      </c>
      <c r="I36" s="119">
        <v>-8.4187426613616001E-2</v>
      </c>
      <c r="J36" s="119">
        <v>-2.5122596926636799E-2</v>
      </c>
    </row>
    <row r="37" spans="2:10" x14ac:dyDescent="0.2">
      <c r="B37" s="126" t="s">
        <v>211</v>
      </c>
      <c r="C37" s="117">
        <v>467.4</v>
      </c>
      <c r="D37" s="117">
        <v>4875</v>
      </c>
      <c r="E37" s="117">
        <v>7843.875</v>
      </c>
      <c r="F37" s="117">
        <v>1900081</v>
      </c>
      <c r="G37" s="129">
        <v>149.03997853875001</v>
      </c>
      <c r="H37" s="129">
        <v>3.1360713050456899</v>
      </c>
      <c r="I37" s="120">
        <v>-6.0252557697865597E-2</v>
      </c>
      <c r="J37" s="120">
        <v>2.6135117174955098E-2</v>
      </c>
    </row>
    <row r="38" spans="2:10" x14ac:dyDescent="0.2">
      <c r="B38" s="125" t="s">
        <v>212</v>
      </c>
      <c r="C38" s="115">
        <v>482.6</v>
      </c>
      <c r="D38" s="115">
        <v>4875</v>
      </c>
      <c r="E38" s="115">
        <v>7843.875</v>
      </c>
      <c r="F38" s="115">
        <v>1904938</v>
      </c>
      <c r="G38" s="128">
        <v>149.4209555475</v>
      </c>
      <c r="H38" s="128">
        <v>3.2298013235940299</v>
      </c>
      <c r="I38" s="119">
        <v>-3.2165650025833201E-2</v>
      </c>
      <c r="J38" s="119">
        <v>2.98877191974334E-2</v>
      </c>
    </row>
    <row r="39" spans="2:10" x14ac:dyDescent="0.2">
      <c r="B39" s="126" t="s">
        <v>213</v>
      </c>
      <c r="C39" s="117">
        <v>506.2</v>
      </c>
      <c r="D39" s="117">
        <v>4875</v>
      </c>
      <c r="E39" s="117">
        <v>7843.875</v>
      </c>
      <c r="F39" s="117">
        <v>1911279</v>
      </c>
      <c r="G39" s="129">
        <v>149.91833566125001</v>
      </c>
      <c r="H39" s="129">
        <v>3.3765049336179298</v>
      </c>
      <c r="I39" s="120">
        <v>1.17951942555583E-2</v>
      </c>
      <c r="J39" s="120">
        <v>4.5421868197346803E-2</v>
      </c>
    </row>
    <row r="40" spans="2:10" ht="30" x14ac:dyDescent="0.25">
      <c r="B40" s="121" t="s">
        <v>222</v>
      </c>
      <c r="C40" s="122">
        <v>476.8</v>
      </c>
      <c r="D40" s="122">
        <v>4761</v>
      </c>
      <c r="E40" s="122">
        <v>7660.4489999999996</v>
      </c>
      <c r="F40" s="122">
        <v>1865122</v>
      </c>
      <c r="G40" s="130">
        <v>142.87671959778001</v>
      </c>
      <c r="H40" s="130">
        <v>3.3371426873619798</v>
      </c>
      <c r="I40" s="131"/>
      <c r="J40" s="24"/>
    </row>
    <row r="41" spans="2:10" x14ac:dyDescent="0.2">
      <c r="C41" s="7"/>
      <c r="D41" s="7"/>
      <c r="E41" s="7"/>
      <c r="F41" s="7"/>
      <c r="G41" s="21"/>
      <c r="H41" s="21"/>
      <c r="I41" s="8"/>
      <c r="J41" s="8"/>
    </row>
    <row r="42" spans="2:10" ht="45" customHeight="1" x14ac:dyDescent="0.2">
      <c r="B42" s="230" t="s">
        <v>377</v>
      </c>
      <c r="C42" s="227"/>
      <c r="D42" s="227"/>
      <c r="E42" s="227"/>
      <c r="F42" s="227"/>
      <c r="G42" s="228"/>
      <c r="H42" s="228"/>
      <c r="I42" s="229"/>
      <c r="J42" s="8"/>
    </row>
    <row r="43" spans="2:10" x14ac:dyDescent="0.2">
      <c r="B43" s="9" t="s">
        <v>314</v>
      </c>
      <c r="C43" s="7"/>
      <c r="D43" s="7"/>
      <c r="E43" s="7"/>
      <c r="F43" s="7"/>
      <c r="G43" s="21"/>
      <c r="H43" s="21"/>
      <c r="I43" s="8"/>
      <c r="J43" s="8"/>
    </row>
    <row r="44" spans="2:10"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6" x14ac:dyDescent="0.2">
      <c r="B49" t="s">
        <v>53</v>
      </c>
      <c r="C49" s="7"/>
      <c r="D49" s="7"/>
      <c r="E49" s="7"/>
      <c r="F49" s="7"/>
      <c r="G49" s="21"/>
      <c r="H49" s="21"/>
      <c r="I49" s="8"/>
      <c r="J49" s="8"/>
    </row>
    <row r="50" spans="2:16" ht="30" customHeight="1" x14ac:dyDescent="0.25">
      <c r="B50" s="222" t="s">
        <v>380</v>
      </c>
      <c r="C50" s="227"/>
      <c r="D50" s="227"/>
      <c r="E50" s="227"/>
      <c r="F50" s="227"/>
      <c r="G50" s="228"/>
      <c r="H50" s="228"/>
      <c r="I50" s="229"/>
      <c r="J50" s="8"/>
      <c r="L50" s="222" t="s">
        <v>381</v>
      </c>
      <c r="M50" s="223"/>
      <c r="N50" s="223"/>
      <c r="O50" s="223"/>
      <c r="P50" s="223"/>
    </row>
    <row r="51" spans="2:16" x14ac:dyDescent="0.2">
      <c r="B51" s="13" t="s">
        <v>196</v>
      </c>
      <c r="C51" s="7"/>
      <c r="D51" s="7"/>
      <c r="E51" s="7"/>
      <c r="F51" s="7"/>
      <c r="G51" s="21"/>
      <c r="H51" s="21"/>
      <c r="I51" s="8"/>
      <c r="J51" s="8"/>
    </row>
    <row r="52" spans="2:16" x14ac:dyDescent="0.2">
      <c r="B52" s="13"/>
      <c r="G52" s="21"/>
      <c r="H52" s="21"/>
      <c r="I52" s="8"/>
      <c r="J52" s="8"/>
    </row>
    <row r="53" spans="2:16" ht="45" customHeight="1" thickBot="1" x14ac:dyDescent="0.3">
      <c r="B53" s="110" t="s">
        <v>197</v>
      </c>
      <c r="C53" s="111" t="s">
        <v>318</v>
      </c>
      <c r="D53" s="111" t="s">
        <v>319</v>
      </c>
      <c r="E53" s="111" t="s">
        <v>320</v>
      </c>
      <c r="F53" s="111" t="s">
        <v>374</v>
      </c>
      <c r="G53" s="111" t="s">
        <v>322</v>
      </c>
      <c r="H53" s="111" t="s">
        <v>323</v>
      </c>
      <c r="I53" s="8"/>
      <c r="J53" s="8"/>
    </row>
    <row r="54" spans="2:16" ht="15" thickTop="1" x14ac:dyDescent="0.2">
      <c r="B54" s="112">
        <v>2014</v>
      </c>
      <c r="C54" s="127">
        <v>3.2045217872456702</v>
      </c>
      <c r="D54" s="127">
        <v>9.3066441194982197E-2</v>
      </c>
      <c r="E54" s="127">
        <v>8.7813291391743806E-2</v>
      </c>
      <c r="F54" s="127">
        <v>448</v>
      </c>
      <c r="G54" s="127">
        <v>3.1114553460506902</v>
      </c>
      <c r="H54" s="127">
        <v>3.02364205465895</v>
      </c>
    </row>
    <row r="55" spans="2:16" x14ac:dyDescent="0.2">
      <c r="B55" s="114">
        <v>2015</v>
      </c>
      <c r="C55" s="128">
        <v>3.3301699272406902</v>
      </c>
      <c r="D55" s="128">
        <v>9.7512875476396796E-2</v>
      </c>
      <c r="E55" s="128">
        <v>9.1964660293744893E-2</v>
      </c>
      <c r="F55" s="128">
        <v>458</v>
      </c>
      <c r="G55" s="128">
        <v>3.2326570517642899</v>
      </c>
      <c r="H55" s="128">
        <v>3.1406923914705498</v>
      </c>
    </row>
    <row r="56" spans="2:16" x14ac:dyDescent="0.2">
      <c r="B56" s="116">
        <v>2016</v>
      </c>
      <c r="C56" s="129">
        <v>4.0350796622435103</v>
      </c>
      <c r="D56" s="129">
        <v>0.11967354252946499</v>
      </c>
      <c r="E56" s="129">
        <v>0.112779387292953</v>
      </c>
      <c r="F56" s="129">
        <v>547</v>
      </c>
      <c r="G56" s="129">
        <v>3.9154061197140502</v>
      </c>
      <c r="H56" s="129">
        <v>3.8026267324210998</v>
      </c>
    </row>
    <row r="57" spans="2:16" x14ac:dyDescent="0.2">
      <c r="B57" s="114">
        <v>2017</v>
      </c>
      <c r="C57" s="128">
        <v>3.5905096723040901</v>
      </c>
      <c r="D57" s="128">
        <v>0.106610278523117</v>
      </c>
      <c r="E57" s="128">
        <v>0.100461843179961</v>
      </c>
      <c r="F57" s="128">
        <v>485</v>
      </c>
      <c r="G57" s="128">
        <v>3.4838993937809701</v>
      </c>
      <c r="H57" s="128">
        <v>3.3834375506010099</v>
      </c>
    </row>
    <row r="58" spans="2:16" x14ac:dyDescent="0.2">
      <c r="B58" s="116">
        <v>2018</v>
      </c>
      <c r="C58" s="129">
        <v>3.1400143771689599</v>
      </c>
      <c r="D58" s="129">
        <v>9.5625049397935605E-2</v>
      </c>
      <c r="E58" s="129">
        <v>8.9972905344258197E-2</v>
      </c>
      <c r="F58" s="129">
        <v>446</v>
      </c>
      <c r="G58" s="129">
        <v>3.0443893277710199</v>
      </c>
      <c r="H58" s="129">
        <v>2.9544164224267702</v>
      </c>
    </row>
    <row r="59" spans="2:16" x14ac:dyDescent="0.2">
      <c r="B59" s="114">
        <v>2019</v>
      </c>
      <c r="C59" s="128">
        <v>3.1819534531509301</v>
      </c>
      <c r="D59" s="128">
        <v>9.3992323350263099E-2</v>
      </c>
      <c r="E59" s="128">
        <v>8.8598731727257199E-2</v>
      </c>
      <c r="F59" s="128">
        <v>479</v>
      </c>
      <c r="G59" s="128">
        <v>3.08796112980066</v>
      </c>
      <c r="H59" s="128">
        <v>2.9993623980734099</v>
      </c>
    </row>
    <row r="60" spans="2:16" x14ac:dyDescent="0.2">
      <c r="B60" s="116">
        <v>2020</v>
      </c>
      <c r="C60" s="129">
        <v>2.3955615227492402</v>
      </c>
      <c r="D60" s="129">
        <v>7.0762943759823796E-2</v>
      </c>
      <c r="E60" s="129">
        <v>6.6702331072764603E-2</v>
      </c>
      <c r="F60" s="129">
        <v>361</v>
      </c>
      <c r="G60" s="129">
        <v>2.3247985789894101</v>
      </c>
      <c r="H60" s="129">
        <v>2.25809624791665</v>
      </c>
    </row>
    <row r="61" spans="2:16" x14ac:dyDescent="0.2">
      <c r="B61" s="114">
        <v>2021</v>
      </c>
      <c r="C61" s="128">
        <v>3.2976687479026898</v>
      </c>
      <c r="D61" s="128">
        <v>9.7410459272430305E-2</v>
      </c>
      <c r="E61" s="128">
        <v>9.1820723660012094E-2</v>
      </c>
      <c r="F61" s="128">
        <v>498</v>
      </c>
      <c r="G61" s="128">
        <v>3.20025828863026</v>
      </c>
      <c r="H61" s="128">
        <v>3.10843756497025</v>
      </c>
    </row>
    <row r="62" spans="2:16" x14ac:dyDescent="0.2">
      <c r="B62" s="116">
        <v>2022</v>
      </c>
      <c r="C62" s="129">
        <v>3.6504093771857198</v>
      </c>
      <c r="D62" s="129">
        <v>0.107830131267794</v>
      </c>
      <c r="E62" s="129">
        <v>0.101642480276912</v>
      </c>
      <c r="F62" s="129">
        <v>553</v>
      </c>
      <c r="G62" s="129">
        <v>3.5425792459179299</v>
      </c>
      <c r="H62" s="129">
        <v>3.4409367656410099</v>
      </c>
    </row>
    <row r="63" spans="2:16" x14ac:dyDescent="0.2">
      <c r="B63" s="114">
        <v>2023</v>
      </c>
      <c r="C63" s="128">
        <v>3.4281209259577601</v>
      </c>
      <c r="D63" s="128">
        <v>0.10126391077070999</v>
      </c>
      <c r="E63" s="128">
        <v>9.5453051315619306E-2</v>
      </c>
      <c r="F63" s="128">
        <v>522</v>
      </c>
      <c r="G63" s="128">
        <v>3.3268570151870498</v>
      </c>
      <c r="H63" s="128">
        <v>3.23140396387143</v>
      </c>
    </row>
    <row r="64" spans="2:16" x14ac:dyDescent="0.2">
      <c r="B64" s="116">
        <v>2024</v>
      </c>
      <c r="C64" s="129">
        <v>3.92066703600916</v>
      </c>
      <c r="D64" s="129">
        <v>0.115813323237766</v>
      </c>
      <c r="E64" s="129">
        <v>0.109167570182806</v>
      </c>
      <c r="F64" s="129">
        <v>597</v>
      </c>
      <c r="G64" s="129">
        <v>3.80485371277139</v>
      </c>
      <c r="H64" s="129">
        <v>3.6956861425885901</v>
      </c>
    </row>
    <row r="65" spans="2:8" ht="30" customHeight="1" x14ac:dyDescent="0.25">
      <c r="B65" s="15" t="s">
        <v>202</v>
      </c>
      <c r="C65" s="23">
        <v>3.42</v>
      </c>
      <c r="D65" s="23">
        <v>0.08</v>
      </c>
      <c r="E65" s="23">
        <v>0.08</v>
      </c>
      <c r="F65" s="23">
        <v>477</v>
      </c>
      <c r="G65" s="23">
        <v>3.34</v>
      </c>
      <c r="H65" s="23">
        <v>3.26</v>
      </c>
    </row>
    <row r="67" spans="2:8" x14ac:dyDescent="0.2">
      <c r="B67" s="9" t="s">
        <v>325</v>
      </c>
    </row>
    <row r="68" spans="2:8" x14ac:dyDescent="0.2">
      <c r="B68" s="9" t="s">
        <v>326</v>
      </c>
    </row>
    <row r="71" spans="2:8" x14ac:dyDescent="0.2">
      <c r="B71" s="1" t="str">
        <f>HYPERLINK("#'Contents'!A1", "Return to Contents Page")</f>
        <v>Return to Contents Page</v>
      </c>
    </row>
  </sheetData>
  <mergeCells count="6">
    <mergeCell ref="B29:I29"/>
    <mergeCell ref="L29:Q29"/>
    <mergeCell ref="B50:I50"/>
    <mergeCell ref="L50:P50"/>
    <mergeCell ref="B21:I21"/>
    <mergeCell ref="B42:I4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71"/>
  <sheetViews>
    <sheetView showGridLines="0" workbookViewId="0"/>
  </sheetViews>
  <sheetFormatPr defaultColWidth="11" defaultRowHeight="14.25" x14ac:dyDescent="0.2"/>
  <cols>
    <col min="2" max="2" width="12.75" customWidth="1"/>
    <col min="4" max="6" width="0.75" hidden="1" customWidth="1"/>
    <col min="7" max="7" width="13.5" customWidth="1"/>
    <col min="9" max="11" width="12.75" customWidth="1"/>
  </cols>
  <sheetData>
    <row r="1" spans="2:12" ht="15" x14ac:dyDescent="0.25">
      <c r="B1" s="6" t="s">
        <v>382</v>
      </c>
    </row>
    <row r="3" spans="2:12" x14ac:dyDescent="0.2">
      <c r="B3" t="s">
        <v>55</v>
      </c>
    </row>
    <row r="4" spans="2:12" ht="15" x14ac:dyDescent="0.25">
      <c r="B4" s="6" t="s">
        <v>56</v>
      </c>
      <c r="L4" s="6" t="s">
        <v>384</v>
      </c>
    </row>
    <row r="5" spans="2:12" x14ac:dyDescent="0.2">
      <c r="B5" t="s">
        <v>196</v>
      </c>
    </row>
    <row r="7" spans="2:12" ht="45" customHeight="1" thickBot="1" x14ac:dyDescent="0.3">
      <c r="B7" s="110" t="s">
        <v>197</v>
      </c>
      <c r="C7" s="111" t="s">
        <v>383</v>
      </c>
      <c r="D7" s="111" t="s">
        <v>306</v>
      </c>
      <c r="E7" s="111" t="s">
        <v>307</v>
      </c>
      <c r="F7" s="111" t="s">
        <v>308</v>
      </c>
      <c r="G7" s="111" t="s">
        <v>309</v>
      </c>
      <c r="H7" s="111" t="s">
        <v>310</v>
      </c>
      <c r="I7" s="111" t="s">
        <v>199</v>
      </c>
      <c r="J7" s="111" t="s">
        <v>311</v>
      </c>
    </row>
    <row r="8" spans="2:12" ht="15" thickTop="1" x14ac:dyDescent="0.2">
      <c r="B8" s="112">
        <v>2014</v>
      </c>
      <c r="C8" s="113">
        <v>651</v>
      </c>
      <c r="D8" s="113">
        <v>5654</v>
      </c>
      <c r="E8" s="113">
        <v>9097.2860000000001</v>
      </c>
      <c r="F8" s="113">
        <v>1843186</v>
      </c>
      <c r="G8" s="127">
        <v>167.67990193195999</v>
      </c>
      <c r="H8" s="127">
        <v>3.88239730879708</v>
      </c>
      <c r="I8" s="118"/>
      <c r="J8" s="118"/>
    </row>
    <row r="9" spans="2:12" x14ac:dyDescent="0.2">
      <c r="B9" s="114">
        <v>2015</v>
      </c>
      <c r="C9" s="115">
        <v>639</v>
      </c>
      <c r="D9" s="115">
        <v>5510</v>
      </c>
      <c r="E9" s="115">
        <v>8865.59</v>
      </c>
      <c r="F9" s="115">
        <v>1854943</v>
      </c>
      <c r="G9" s="128">
        <v>164.45164111369999</v>
      </c>
      <c r="H9" s="128">
        <v>3.88564076145766</v>
      </c>
      <c r="I9" s="119"/>
      <c r="J9" s="119">
        <v>8.3542522895189205E-4</v>
      </c>
    </row>
    <row r="10" spans="2:12" x14ac:dyDescent="0.2">
      <c r="B10" s="116">
        <v>2016</v>
      </c>
      <c r="C10" s="117">
        <v>754</v>
      </c>
      <c r="D10" s="117">
        <v>5377</v>
      </c>
      <c r="E10" s="117">
        <v>8651.5930000000008</v>
      </c>
      <c r="F10" s="117">
        <v>1866042</v>
      </c>
      <c r="G10" s="129">
        <v>161.44235904906</v>
      </c>
      <c r="H10" s="129">
        <v>4.6703975613418196</v>
      </c>
      <c r="I10" s="120"/>
      <c r="J10" s="120">
        <v>0.20196329204395</v>
      </c>
    </row>
    <row r="11" spans="2:12" x14ac:dyDescent="0.2">
      <c r="B11" s="114">
        <v>2017</v>
      </c>
      <c r="C11" s="115">
        <v>705</v>
      </c>
      <c r="D11" s="115">
        <v>5337</v>
      </c>
      <c r="E11" s="115">
        <v>8587.2330000000002</v>
      </c>
      <c r="F11" s="115">
        <v>1875178</v>
      </c>
      <c r="G11" s="128">
        <v>161.02590402473999</v>
      </c>
      <c r="H11" s="128">
        <v>4.3781775626093298</v>
      </c>
      <c r="I11" s="119"/>
      <c r="J11" s="119">
        <v>-6.2568549014172706E-2</v>
      </c>
    </row>
    <row r="12" spans="2:12" x14ac:dyDescent="0.2">
      <c r="B12" s="116">
        <v>2018</v>
      </c>
      <c r="C12" s="117">
        <v>678</v>
      </c>
      <c r="D12" s="117">
        <v>5559</v>
      </c>
      <c r="E12" s="117">
        <v>8944.4310000000005</v>
      </c>
      <c r="F12" s="117">
        <v>1886259</v>
      </c>
      <c r="G12" s="129">
        <v>168.71513473629</v>
      </c>
      <c r="H12" s="129">
        <v>4.0186080582500603</v>
      </c>
      <c r="I12" s="120"/>
      <c r="J12" s="120">
        <v>-8.2127665956281806E-2</v>
      </c>
    </row>
    <row r="13" spans="2:12" x14ac:dyDescent="0.2">
      <c r="B13" s="114">
        <v>2019</v>
      </c>
      <c r="C13" s="115">
        <v>692</v>
      </c>
      <c r="D13" s="115">
        <v>5798</v>
      </c>
      <c r="E13" s="115">
        <v>9328.982</v>
      </c>
      <c r="F13" s="115">
        <v>1898519</v>
      </c>
      <c r="G13" s="128">
        <v>177.11249577658</v>
      </c>
      <c r="H13" s="128">
        <v>3.90712127321004</v>
      </c>
      <c r="I13" s="119">
        <v>-6.0478746693788402E-2</v>
      </c>
      <c r="J13" s="119">
        <v>-2.7742637108174501E-2</v>
      </c>
    </row>
    <row r="14" spans="2:12" x14ac:dyDescent="0.2">
      <c r="B14" s="116">
        <v>2020</v>
      </c>
      <c r="C14" s="117">
        <v>569</v>
      </c>
      <c r="D14" s="117">
        <v>5798</v>
      </c>
      <c r="E14" s="117">
        <v>9328.982</v>
      </c>
      <c r="F14" s="117">
        <v>1900523</v>
      </c>
      <c r="G14" s="129">
        <v>177.29944857586</v>
      </c>
      <c r="H14" s="129">
        <v>3.2092598401768</v>
      </c>
      <c r="I14" s="120">
        <v>-0.22828916319994899</v>
      </c>
      <c r="J14" s="120">
        <v>-0.17861268802129801</v>
      </c>
    </row>
    <row r="15" spans="2:12" x14ac:dyDescent="0.2">
      <c r="B15" s="114">
        <v>2021</v>
      </c>
      <c r="C15" s="115">
        <v>698</v>
      </c>
      <c r="D15" s="115">
        <v>5798</v>
      </c>
      <c r="E15" s="115">
        <v>9328.982</v>
      </c>
      <c r="F15" s="115">
        <v>1904564</v>
      </c>
      <c r="G15" s="128">
        <v>177.67643273848</v>
      </c>
      <c r="H15" s="128">
        <v>3.9284894976892</v>
      </c>
      <c r="I15" s="119">
        <v>-5.5340462100157403E-2</v>
      </c>
      <c r="J15" s="119">
        <v>0.224110758657912</v>
      </c>
    </row>
    <row r="16" spans="2:12" x14ac:dyDescent="0.2">
      <c r="B16" s="116">
        <v>2022</v>
      </c>
      <c r="C16" s="117">
        <v>800</v>
      </c>
      <c r="D16" s="117">
        <v>5798</v>
      </c>
      <c r="E16" s="117">
        <v>9328.982</v>
      </c>
      <c r="F16" s="117">
        <v>1910543</v>
      </c>
      <c r="G16" s="129">
        <v>178.23421257225999</v>
      </c>
      <c r="H16" s="129">
        <v>4.4884760813003997</v>
      </c>
      <c r="I16" s="120">
        <v>7.9316043311256398E-2</v>
      </c>
      <c r="J16" s="120">
        <v>0.142545012259952</v>
      </c>
    </row>
    <row r="17" spans="2:17" x14ac:dyDescent="0.2">
      <c r="B17" s="114">
        <v>2023</v>
      </c>
      <c r="C17" s="115">
        <v>811</v>
      </c>
      <c r="D17" s="115">
        <v>5798</v>
      </c>
      <c r="E17" s="115">
        <v>9328.982</v>
      </c>
      <c r="F17" s="115">
        <v>1920382</v>
      </c>
      <c r="G17" s="128">
        <v>179.15209111124</v>
      </c>
      <c r="H17" s="128">
        <v>4.5268798983564702</v>
      </c>
      <c r="I17" s="119">
        <v>8.8550771339706597E-2</v>
      </c>
      <c r="J17" s="119">
        <v>8.5560926159485191E-3</v>
      </c>
    </row>
    <row r="18" spans="2:17" x14ac:dyDescent="0.2">
      <c r="B18" s="116">
        <v>2024</v>
      </c>
      <c r="C18" s="117">
        <v>827</v>
      </c>
      <c r="D18" s="117">
        <v>5798</v>
      </c>
      <c r="E18" s="117">
        <v>9328.982</v>
      </c>
      <c r="F18" s="117">
        <v>1920382</v>
      </c>
      <c r="G18" s="129">
        <v>179.15209111124</v>
      </c>
      <c r="H18" s="129">
        <v>4.6161894894461204</v>
      </c>
      <c r="I18" s="120">
        <v>0.110026495558492</v>
      </c>
      <c r="J18" s="120">
        <v>1.97287299630086E-2</v>
      </c>
    </row>
    <row r="19" spans="2:17" ht="30" customHeight="1" x14ac:dyDescent="0.25">
      <c r="B19" s="121" t="s">
        <v>202</v>
      </c>
      <c r="C19" s="122">
        <v>685.4</v>
      </c>
      <c r="D19" s="122">
        <v>5492</v>
      </c>
      <c r="E19" s="122">
        <v>8836.6280000000006</v>
      </c>
      <c r="F19" s="122">
        <v>1865122</v>
      </c>
      <c r="G19" s="130">
        <v>164.81389288616</v>
      </c>
      <c r="H19" s="130">
        <v>4.1586300038032498</v>
      </c>
      <c r="I19" s="131"/>
      <c r="J19" s="24"/>
    </row>
    <row r="21" spans="2:17" x14ac:dyDescent="0.2">
      <c r="B21" s="9" t="s">
        <v>313</v>
      </c>
    </row>
    <row r="22" spans="2:17" x14ac:dyDescent="0.2">
      <c r="B22" s="9" t="s">
        <v>314</v>
      </c>
    </row>
    <row r="24" spans="2:17" x14ac:dyDescent="0.2">
      <c r="B24" s="1" t="str">
        <f>HYPERLINK("#'Contents'!A1", "Return to Contents Page")</f>
        <v>Return to Contents Page</v>
      </c>
    </row>
    <row r="28" spans="2:17" x14ac:dyDescent="0.2">
      <c r="B28" t="s">
        <v>57</v>
      </c>
    </row>
    <row r="29" spans="2:17" ht="30" customHeight="1" x14ac:dyDescent="0.25">
      <c r="B29" s="222" t="s">
        <v>385</v>
      </c>
      <c r="C29" s="223"/>
      <c r="D29" s="223"/>
      <c r="E29" s="223"/>
      <c r="F29" s="223"/>
      <c r="G29" s="223"/>
      <c r="H29" s="223"/>
      <c r="I29" s="223"/>
      <c r="L29" s="222" t="s">
        <v>386</v>
      </c>
      <c r="M29" s="223"/>
      <c r="N29" s="223"/>
      <c r="O29" s="223"/>
      <c r="P29" s="223"/>
      <c r="Q29" s="223"/>
    </row>
    <row r="30" spans="2:17" x14ac:dyDescent="0.2">
      <c r="B30" t="s">
        <v>196</v>
      </c>
    </row>
    <row r="32" spans="2:17" ht="45" customHeight="1" thickBot="1" x14ac:dyDescent="0.3">
      <c r="B32" s="110" t="s">
        <v>197</v>
      </c>
      <c r="C32" s="111" t="s">
        <v>383</v>
      </c>
      <c r="D32" s="111" t="s">
        <v>306</v>
      </c>
      <c r="E32" s="111" t="s">
        <v>307</v>
      </c>
      <c r="F32" s="111" t="s">
        <v>308</v>
      </c>
      <c r="G32" s="111" t="s">
        <v>309</v>
      </c>
      <c r="H32" s="111" t="s">
        <v>310</v>
      </c>
      <c r="I32" s="111" t="s">
        <v>199</v>
      </c>
      <c r="J32" s="111" t="s">
        <v>311</v>
      </c>
    </row>
    <row r="33" spans="2:10" ht="15" thickTop="1" x14ac:dyDescent="0.2">
      <c r="B33" s="124" t="s">
        <v>207</v>
      </c>
      <c r="C33" s="113">
        <v>685.4</v>
      </c>
      <c r="D33" s="113">
        <v>5492</v>
      </c>
      <c r="E33" s="113">
        <v>8836.6280000000006</v>
      </c>
      <c r="F33" s="113">
        <v>1865122</v>
      </c>
      <c r="G33" s="127">
        <v>164.81389288616</v>
      </c>
      <c r="H33" s="127">
        <v>4.1586300038032498</v>
      </c>
      <c r="I33" s="118"/>
      <c r="J33" s="118"/>
    </row>
    <row r="34" spans="2:10" x14ac:dyDescent="0.2">
      <c r="B34" s="125" t="s">
        <v>208</v>
      </c>
      <c r="C34" s="115">
        <v>693.6</v>
      </c>
      <c r="D34" s="115">
        <v>5593</v>
      </c>
      <c r="E34" s="115">
        <v>8999.1370000000006</v>
      </c>
      <c r="F34" s="115">
        <v>1876188</v>
      </c>
      <c r="G34" s="128">
        <v>168.84072849756001</v>
      </c>
      <c r="H34" s="128">
        <v>4.1080135472764399</v>
      </c>
      <c r="I34" s="119">
        <v>-1.21714258014099E-2</v>
      </c>
      <c r="J34" s="119">
        <v>-1.21714258014099E-2</v>
      </c>
    </row>
    <row r="35" spans="2:10" x14ac:dyDescent="0.2">
      <c r="B35" s="126" t="s">
        <v>209</v>
      </c>
      <c r="C35" s="117">
        <v>679.6</v>
      </c>
      <c r="D35" s="117">
        <v>5593</v>
      </c>
      <c r="E35" s="117">
        <v>8999.1370000000006</v>
      </c>
      <c r="F35" s="117">
        <v>1885304</v>
      </c>
      <c r="G35" s="129">
        <v>169.66108982648001</v>
      </c>
      <c r="H35" s="129">
        <v>4.0056326450281396</v>
      </c>
      <c r="I35" s="120">
        <v>-3.6790327255655501E-2</v>
      </c>
      <c r="J35" s="120">
        <v>-2.4922240657209702E-2</v>
      </c>
    </row>
    <row r="36" spans="2:10" x14ac:dyDescent="0.2">
      <c r="B36" s="125" t="s">
        <v>210</v>
      </c>
      <c r="C36" s="115">
        <v>668.4</v>
      </c>
      <c r="D36" s="115">
        <v>5593</v>
      </c>
      <c r="E36" s="115">
        <v>8999.1370000000006</v>
      </c>
      <c r="F36" s="115">
        <v>1893008</v>
      </c>
      <c r="G36" s="128">
        <v>170.35438334096</v>
      </c>
      <c r="H36" s="128">
        <v>3.9235855684571002</v>
      </c>
      <c r="I36" s="119">
        <v>-5.6519679589477102E-2</v>
      </c>
      <c r="J36" s="119">
        <v>-2.0482925880103999E-2</v>
      </c>
    </row>
    <row r="37" spans="2:10" x14ac:dyDescent="0.2">
      <c r="B37" s="126" t="s">
        <v>211</v>
      </c>
      <c r="C37" s="117">
        <v>687.4</v>
      </c>
      <c r="D37" s="117">
        <v>5593</v>
      </c>
      <c r="E37" s="117">
        <v>8999.1370000000006</v>
      </c>
      <c r="F37" s="117">
        <v>1900081</v>
      </c>
      <c r="G37" s="129">
        <v>170.99089230096999</v>
      </c>
      <c r="H37" s="129">
        <v>4.0200971569296904</v>
      </c>
      <c r="I37" s="120">
        <v>-3.3312135666521803E-2</v>
      </c>
      <c r="J37" s="120">
        <v>2.4597803919065599E-2</v>
      </c>
    </row>
    <row r="38" spans="2:10" x14ac:dyDescent="0.2">
      <c r="B38" s="125" t="s">
        <v>212</v>
      </c>
      <c r="C38" s="115">
        <v>714</v>
      </c>
      <c r="D38" s="115">
        <v>5593</v>
      </c>
      <c r="E38" s="115">
        <v>8999.1370000000006</v>
      </c>
      <c r="F38" s="115">
        <v>1904938</v>
      </c>
      <c r="G38" s="128">
        <v>171.42798038506001</v>
      </c>
      <c r="H38" s="128">
        <v>4.16501435994416</v>
      </c>
      <c r="I38" s="119">
        <v>1.5352065788654099E-3</v>
      </c>
      <c r="J38" s="119">
        <v>3.6048184249643102E-2</v>
      </c>
    </row>
    <row r="39" spans="2:10" x14ac:dyDescent="0.2">
      <c r="B39" s="126" t="s">
        <v>213</v>
      </c>
      <c r="C39" s="117">
        <v>741</v>
      </c>
      <c r="D39" s="117">
        <v>5593</v>
      </c>
      <c r="E39" s="117">
        <v>8999.1370000000006</v>
      </c>
      <c r="F39" s="117">
        <v>1911279</v>
      </c>
      <c r="G39" s="129">
        <v>171.99861566223001</v>
      </c>
      <c r="H39" s="129">
        <v>4.3081742091178903</v>
      </c>
      <c r="I39" s="120">
        <v>3.5959968830571003E-2</v>
      </c>
      <c r="J39" s="120">
        <v>3.4371994140172897E-2</v>
      </c>
    </row>
    <row r="40" spans="2:10" ht="30" x14ac:dyDescent="0.25">
      <c r="B40" s="121" t="s">
        <v>222</v>
      </c>
      <c r="C40" s="122">
        <v>685.4</v>
      </c>
      <c r="D40" s="122">
        <v>5492</v>
      </c>
      <c r="E40" s="122">
        <v>8836.6280000000006</v>
      </c>
      <c r="F40" s="122">
        <v>1865122</v>
      </c>
      <c r="G40" s="130">
        <v>164.81389288616</v>
      </c>
      <c r="H40" s="130">
        <v>4.1586300038032498</v>
      </c>
      <c r="I40" s="131"/>
      <c r="J40" s="24"/>
    </row>
    <row r="41" spans="2:10" x14ac:dyDescent="0.2">
      <c r="C41" s="7"/>
      <c r="D41" s="7"/>
      <c r="E41" s="7"/>
      <c r="F41" s="7"/>
      <c r="G41" s="21"/>
      <c r="H41" s="21"/>
      <c r="I41" s="8"/>
      <c r="J41" s="8"/>
    </row>
    <row r="42" spans="2:10" x14ac:dyDescent="0.2">
      <c r="B42" s="9" t="s">
        <v>313</v>
      </c>
      <c r="C42" s="7"/>
      <c r="D42" s="7"/>
      <c r="E42" s="7"/>
      <c r="F42" s="7"/>
      <c r="G42" s="21"/>
      <c r="H42" s="21"/>
      <c r="I42" s="8"/>
      <c r="J42" s="8"/>
    </row>
    <row r="43" spans="2:10" x14ac:dyDescent="0.2">
      <c r="B43" s="9" t="s">
        <v>314</v>
      </c>
      <c r="C43" s="7"/>
      <c r="D43" s="7"/>
      <c r="E43" s="7"/>
      <c r="F43" s="7"/>
      <c r="G43" s="21"/>
      <c r="H43" s="21"/>
      <c r="I43" s="8"/>
      <c r="J43" s="8"/>
    </row>
    <row r="44" spans="2:10"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7" x14ac:dyDescent="0.2">
      <c r="B49" t="s">
        <v>59</v>
      </c>
      <c r="C49" s="7"/>
      <c r="D49" s="7"/>
      <c r="E49" s="7"/>
      <c r="F49" s="7"/>
      <c r="G49" s="21"/>
      <c r="H49" s="21"/>
      <c r="I49" s="8"/>
      <c r="J49" s="8"/>
    </row>
    <row r="50" spans="2:17" ht="30" customHeight="1" x14ac:dyDescent="0.25">
      <c r="B50" s="222" t="s">
        <v>387</v>
      </c>
      <c r="C50" s="227"/>
      <c r="D50" s="227"/>
      <c r="E50" s="227"/>
      <c r="F50" s="227"/>
      <c r="G50" s="228"/>
      <c r="H50" s="228"/>
      <c r="I50" s="229"/>
      <c r="J50" s="8"/>
      <c r="L50" s="222" t="s">
        <v>389</v>
      </c>
      <c r="M50" s="223"/>
      <c r="N50" s="223"/>
      <c r="O50" s="223"/>
      <c r="P50" s="223"/>
      <c r="Q50" s="223"/>
    </row>
    <row r="51" spans="2:17" x14ac:dyDescent="0.2">
      <c r="B51" s="13" t="s">
        <v>196</v>
      </c>
      <c r="C51" s="7"/>
      <c r="D51" s="7"/>
      <c r="E51" s="7"/>
      <c r="F51" s="7"/>
      <c r="G51" s="21"/>
      <c r="H51" s="21"/>
      <c r="I51" s="8"/>
      <c r="J51" s="8"/>
    </row>
    <row r="52" spans="2:17" x14ac:dyDescent="0.2">
      <c r="B52" s="13"/>
      <c r="G52" s="21"/>
      <c r="H52" s="21"/>
      <c r="I52" s="8"/>
      <c r="J52" s="8"/>
    </row>
    <row r="53" spans="2:17" ht="45" customHeight="1" thickBot="1" x14ac:dyDescent="0.3">
      <c r="B53" s="110" t="s">
        <v>197</v>
      </c>
      <c r="C53" s="111" t="s">
        <v>318</v>
      </c>
      <c r="D53" s="111" t="s">
        <v>319</v>
      </c>
      <c r="E53" s="111" t="s">
        <v>320</v>
      </c>
      <c r="F53" s="111" t="s">
        <v>388</v>
      </c>
      <c r="G53" s="111" t="s">
        <v>322</v>
      </c>
      <c r="H53" s="111" t="s">
        <v>323</v>
      </c>
      <c r="I53" s="8"/>
      <c r="J53" s="8"/>
    </row>
    <row r="54" spans="2:17" ht="15" thickTop="1" x14ac:dyDescent="0.2">
      <c r="B54" s="112">
        <v>2014</v>
      </c>
      <c r="C54" s="127">
        <v>3.9896536502978401</v>
      </c>
      <c r="D54" s="127">
        <v>0.107256341500755</v>
      </c>
      <c r="E54" s="127">
        <v>0.101640439362237</v>
      </c>
      <c r="F54" s="127">
        <v>651</v>
      </c>
      <c r="G54" s="127">
        <v>3.88239730879708</v>
      </c>
      <c r="H54" s="127">
        <v>3.7807568694348399</v>
      </c>
    </row>
    <row r="55" spans="2:17" x14ac:dyDescent="0.2">
      <c r="B55" s="114">
        <v>2015</v>
      </c>
      <c r="C55" s="128">
        <v>3.9928908235046099</v>
      </c>
      <c r="D55" s="128">
        <v>0.10725006204694899</v>
      </c>
      <c r="E55" s="128">
        <v>0.10163924225799401</v>
      </c>
      <c r="F55" s="128">
        <v>639</v>
      </c>
      <c r="G55" s="128">
        <v>3.88564076145766</v>
      </c>
      <c r="H55" s="128">
        <v>3.7840015191996699</v>
      </c>
    </row>
    <row r="56" spans="2:17" x14ac:dyDescent="0.2">
      <c r="B56" s="116">
        <v>2016</v>
      </c>
      <c r="C56" s="129">
        <v>4.8007508482766097</v>
      </c>
      <c r="D56" s="129">
        <v>0.130353286934795</v>
      </c>
      <c r="E56" s="129">
        <v>0.123461532492468</v>
      </c>
      <c r="F56" s="129">
        <v>754</v>
      </c>
      <c r="G56" s="129">
        <v>4.6703975613418196</v>
      </c>
      <c r="H56" s="129">
        <v>4.5469360288493501</v>
      </c>
    </row>
    <row r="57" spans="2:17" x14ac:dyDescent="0.2">
      <c r="B57" s="114">
        <v>2017</v>
      </c>
      <c r="C57" s="128">
        <v>4.4995828329763103</v>
      </c>
      <c r="D57" s="128">
        <v>0.12140527036698399</v>
      </c>
      <c r="E57" s="128">
        <v>0.11502601149712401</v>
      </c>
      <c r="F57" s="128">
        <v>705</v>
      </c>
      <c r="G57" s="128">
        <v>4.3781775626093298</v>
      </c>
      <c r="H57" s="128">
        <v>4.2631515511122</v>
      </c>
    </row>
    <row r="58" spans="2:17" x14ac:dyDescent="0.2">
      <c r="B58" s="116">
        <v>2018</v>
      </c>
      <c r="C58" s="129">
        <v>4.1354021095542599</v>
      </c>
      <c r="D58" s="129">
        <v>0.116794051304195</v>
      </c>
      <c r="E58" s="129">
        <v>0.110378142957533</v>
      </c>
      <c r="F58" s="129">
        <v>678</v>
      </c>
      <c r="G58" s="129">
        <v>4.0186080582500603</v>
      </c>
      <c r="H58" s="129">
        <v>3.9082299152925302</v>
      </c>
    </row>
    <row r="59" spans="2:17" x14ac:dyDescent="0.2">
      <c r="B59" s="114">
        <v>2019</v>
      </c>
      <c r="C59" s="128">
        <v>4.0172883741925602</v>
      </c>
      <c r="D59" s="128">
        <v>0.110167100982514</v>
      </c>
      <c r="E59" s="128">
        <v>0.104286097438374</v>
      </c>
      <c r="F59" s="128">
        <v>692</v>
      </c>
      <c r="G59" s="128">
        <v>3.90712127321004</v>
      </c>
      <c r="H59" s="128">
        <v>3.8028351757716701</v>
      </c>
    </row>
    <row r="60" spans="2:17" x14ac:dyDescent="0.2">
      <c r="B60" s="116">
        <v>2020</v>
      </c>
      <c r="C60" s="129">
        <v>3.2997496991213202</v>
      </c>
      <c r="D60" s="129">
        <v>9.0489858944513599E-2</v>
      </c>
      <c r="E60" s="129">
        <v>8.5659277251655605E-2</v>
      </c>
      <c r="F60" s="129">
        <v>569</v>
      </c>
      <c r="G60" s="129">
        <v>3.2092598401768</v>
      </c>
      <c r="H60" s="129">
        <v>3.1236005629251502</v>
      </c>
    </row>
    <row r="61" spans="2:17" x14ac:dyDescent="0.2">
      <c r="B61" s="114">
        <v>2021</v>
      </c>
      <c r="C61" s="128">
        <v>4.0392591075726099</v>
      </c>
      <c r="D61" s="128">
        <v>0.110769609883416</v>
      </c>
      <c r="E61" s="128">
        <v>0.104856442862613</v>
      </c>
      <c r="F61" s="128">
        <v>698</v>
      </c>
      <c r="G61" s="128">
        <v>3.9284894976892</v>
      </c>
      <c r="H61" s="128">
        <v>3.82363305482659</v>
      </c>
    </row>
    <row r="62" spans="2:17" x14ac:dyDescent="0.2">
      <c r="B62" s="116">
        <v>2022</v>
      </c>
      <c r="C62" s="129">
        <v>4.6150353465826797</v>
      </c>
      <c r="D62" s="129">
        <v>0.12655926528227901</v>
      </c>
      <c r="E62" s="129">
        <v>0.119803205795997</v>
      </c>
      <c r="F62" s="129">
        <v>800</v>
      </c>
      <c r="G62" s="129">
        <v>4.4884760813003997</v>
      </c>
      <c r="H62" s="129">
        <v>4.3686728755043998</v>
      </c>
    </row>
    <row r="63" spans="2:17" x14ac:dyDescent="0.2">
      <c r="B63" s="114">
        <v>2023</v>
      </c>
      <c r="C63" s="128">
        <v>4.6545220164339103</v>
      </c>
      <c r="D63" s="128">
        <v>0.127642118077439</v>
      </c>
      <c r="E63" s="128">
        <v>0.120828253120477</v>
      </c>
      <c r="F63" s="128">
        <v>811</v>
      </c>
      <c r="G63" s="128">
        <v>4.5268798983564702</v>
      </c>
      <c r="H63" s="128">
        <v>4.4060516452360003</v>
      </c>
    </row>
    <row r="64" spans="2:17" x14ac:dyDescent="0.2">
      <c r="B64" s="116">
        <v>2024</v>
      </c>
      <c r="C64" s="129">
        <v>4.74634982440302</v>
      </c>
      <c r="D64" s="129">
        <v>0.130160334956896</v>
      </c>
      <c r="E64" s="129">
        <v>0.123212041098193</v>
      </c>
      <c r="F64" s="129">
        <v>827</v>
      </c>
      <c r="G64" s="129">
        <v>4.6161894894461204</v>
      </c>
      <c r="H64" s="129">
        <v>4.4929774483479301</v>
      </c>
    </row>
    <row r="65" spans="2:8" ht="30" customHeight="1" x14ac:dyDescent="0.25">
      <c r="B65" s="15" t="s">
        <v>202</v>
      </c>
      <c r="C65" s="23">
        <v>4.25</v>
      </c>
      <c r="D65" s="23">
        <v>0.09</v>
      </c>
      <c r="E65" s="23">
        <v>0.09</v>
      </c>
      <c r="F65" s="23">
        <v>685</v>
      </c>
      <c r="G65" s="23">
        <v>4.16</v>
      </c>
      <c r="H65" s="23">
        <v>4.07</v>
      </c>
    </row>
    <row r="67" spans="2:8" x14ac:dyDescent="0.2">
      <c r="B67" s="9" t="s">
        <v>325</v>
      </c>
    </row>
    <row r="68" spans="2:8" x14ac:dyDescent="0.2">
      <c r="B68" s="9" t="s">
        <v>326</v>
      </c>
    </row>
    <row r="71" spans="2:8" x14ac:dyDescent="0.2">
      <c r="B71" s="1" t="str">
        <f>HYPERLINK("#'Contents'!A1", "Return to Contents Page")</f>
        <v>Return to Contents Page</v>
      </c>
    </row>
  </sheetData>
  <mergeCells count="4">
    <mergeCell ref="B29:I29"/>
    <mergeCell ref="L29:Q29"/>
    <mergeCell ref="B50:I50"/>
    <mergeCell ref="L50:Q50"/>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60"/>
  <sheetViews>
    <sheetView showGridLines="0" workbookViewId="0"/>
  </sheetViews>
  <sheetFormatPr defaultColWidth="11" defaultRowHeight="14.25" x14ac:dyDescent="0.2"/>
  <cols>
    <col min="2" max="2" width="12.75" customWidth="1"/>
    <col min="4" max="4" width="0.75" hidden="1" customWidth="1"/>
    <col min="5" max="5" width="14.5" customWidth="1"/>
    <col min="7" max="7" width="13.5" customWidth="1"/>
    <col min="9" max="11" width="12.75" customWidth="1"/>
  </cols>
  <sheetData>
    <row r="1" spans="2:18" ht="15" x14ac:dyDescent="0.25">
      <c r="B1" s="6" t="s">
        <v>390</v>
      </c>
    </row>
    <row r="3" spans="2:18" x14ac:dyDescent="0.2">
      <c r="B3" t="s">
        <v>61</v>
      </c>
    </row>
    <row r="4" spans="2:18" ht="30" customHeight="1" x14ac:dyDescent="0.25">
      <c r="B4" s="222" t="s">
        <v>391</v>
      </c>
      <c r="C4" s="223"/>
      <c r="D4" s="223"/>
      <c r="E4" s="223"/>
      <c r="F4" s="223"/>
      <c r="G4" s="223"/>
      <c r="H4" s="223"/>
      <c r="L4" s="222" t="s">
        <v>396</v>
      </c>
      <c r="M4" s="223"/>
      <c r="N4" s="223"/>
      <c r="O4" s="223"/>
      <c r="P4" s="223"/>
      <c r="Q4" s="223"/>
      <c r="R4" s="223"/>
    </row>
    <row r="5" spans="2:18" x14ac:dyDescent="0.2">
      <c r="B5" t="s">
        <v>196</v>
      </c>
    </row>
    <row r="7" spans="2:18" ht="45" customHeight="1" thickBot="1" x14ac:dyDescent="0.3">
      <c r="B7" s="110" t="s">
        <v>197</v>
      </c>
      <c r="C7" s="111" t="s">
        <v>392</v>
      </c>
      <c r="D7" s="111" t="s">
        <v>393</v>
      </c>
      <c r="E7" s="111" t="s">
        <v>394</v>
      </c>
      <c r="F7" s="111" t="s">
        <v>395</v>
      </c>
      <c r="G7" s="111" t="s">
        <v>199</v>
      </c>
      <c r="H7" s="111" t="s">
        <v>311</v>
      </c>
    </row>
    <row r="8" spans="2:18" ht="15" thickTop="1" x14ac:dyDescent="0.2">
      <c r="B8" s="112">
        <v>2014</v>
      </c>
      <c r="C8" s="113">
        <v>77</v>
      </c>
      <c r="D8" s="113">
        <v>181794</v>
      </c>
      <c r="E8" s="127">
        <v>1.8179399999999999</v>
      </c>
      <c r="F8" s="127">
        <v>42.355633299228799</v>
      </c>
      <c r="G8" s="118"/>
      <c r="H8" s="118"/>
    </row>
    <row r="9" spans="2:18" x14ac:dyDescent="0.2">
      <c r="B9" s="114">
        <v>2015</v>
      </c>
      <c r="C9" s="115">
        <v>69</v>
      </c>
      <c r="D9" s="115">
        <v>187067</v>
      </c>
      <c r="E9" s="128">
        <v>1.8706700000000001</v>
      </c>
      <c r="F9" s="128">
        <v>36.8851801760866</v>
      </c>
      <c r="G9" s="119"/>
      <c r="H9" s="119">
        <v>-0.12915526689201401</v>
      </c>
    </row>
    <row r="10" spans="2:18" x14ac:dyDescent="0.2">
      <c r="B10" s="116">
        <v>2016</v>
      </c>
      <c r="C10" s="117">
        <v>90</v>
      </c>
      <c r="D10" s="117">
        <v>192355</v>
      </c>
      <c r="E10" s="129">
        <v>1.9235500000000001</v>
      </c>
      <c r="F10" s="129">
        <v>46.788490031452298</v>
      </c>
      <c r="G10" s="120"/>
      <c r="H10" s="120">
        <v>0.26849021227734499</v>
      </c>
    </row>
    <row r="11" spans="2:18" x14ac:dyDescent="0.2">
      <c r="B11" s="114">
        <v>2017</v>
      </c>
      <c r="C11" s="115">
        <v>92</v>
      </c>
      <c r="D11" s="115">
        <v>197137</v>
      </c>
      <c r="E11" s="128">
        <v>1.9713700000000001</v>
      </c>
      <c r="F11" s="128">
        <v>46.668053181290198</v>
      </c>
      <c r="G11" s="119"/>
      <c r="H11" s="119">
        <v>-2.5740700347699399E-3</v>
      </c>
    </row>
    <row r="12" spans="2:18" x14ac:dyDescent="0.2">
      <c r="B12" s="116">
        <v>2018</v>
      </c>
      <c r="C12" s="117">
        <v>79</v>
      </c>
      <c r="D12" s="117">
        <v>202678</v>
      </c>
      <c r="E12" s="129">
        <v>2.02678</v>
      </c>
      <c r="F12" s="129">
        <v>38.978083462438001</v>
      </c>
      <c r="G12" s="120"/>
      <c r="H12" s="120">
        <v>-0.164780169615801</v>
      </c>
    </row>
    <row r="13" spans="2:18" x14ac:dyDescent="0.2">
      <c r="B13" s="114">
        <v>2019</v>
      </c>
      <c r="C13" s="115">
        <v>104</v>
      </c>
      <c r="D13" s="115">
        <v>208744</v>
      </c>
      <c r="E13" s="128">
        <v>2.08744</v>
      </c>
      <c r="F13" s="128">
        <v>49.821791285019003</v>
      </c>
      <c r="G13" s="119">
        <v>0.176418576870806</v>
      </c>
      <c r="H13" s="119">
        <v>0.278200128362668</v>
      </c>
    </row>
    <row r="14" spans="2:18" x14ac:dyDescent="0.2">
      <c r="B14" s="116">
        <v>2020</v>
      </c>
      <c r="C14" s="117">
        <v>60</v>
      </c>
      <c r="D14" s="117">
        <v>213431</v>
      </c>
      <c r="E14" s="129">
        <v>2.1343100000000002</v>
      </c>
      <c r="F14" s="129">
        <v>28.112129915522999</v>
      </c>
      <c r="G14" s="120">
        <v>-0.33620146897505898</v>
      </c>
      <c r="H14" s="120">
        <v>-0.435746303164813</v>
      </c>
    </row>
    <row r="15" spans="2:18" x14ac:dyDescent="0.2">
      <c r="B15" s="114">
        <v>2021</v>
      </c>
      <c r="C15" s="115">
        <v>82</v>
      </c>
      <c r="D15" s="115">
        <v>217932</v>
      </c>
      <c r="E15" s="128">
        <v>2.1793200000000001</v>
      </c>
      <c r="F15" s="128">
        <v>37.6264155791715</v>
      </c>
      <c r="G15" s="119">
        <v>-0.111545106534369</v>
      </c>
      <c r="H15" s="119">
        <v>0.33844058391302501</v>
      </c>
    </row>
    <row r="16" spans="2:18" x14ac:dyDescent="0.2">
      <c r="B16" s="116">
        <v>2022</v>
      </c>
      <c r="C16" s="117">
        <v>95</v>
      </c>
      <c r="D16" s="117">
        <v>221967</v>
      </c>
      <c r="E16" s="129">
        <v>2.2196699999999998</v>
      </c>
      <c r="F16" s="129">
        <v>42.799154829321502</v>
      </c>
      <c r="G16" s="120">
        <v>1.0596357877710599E-2</v>
      </c>
      <c r="H16" s="120">
        <v>0.13747626954435199</v>
      </c>
    </row>
    <row r="17" spans="2:20" x14ac:dyDescent="0.2">
      <c r="B17" s="114">
        <v>2023</v>
      </c>
      <c r="C17" s="115">
        <v>101</v>
      </c>
      <c r="D17" s="115">
        <v>225499</v>
      </c>
      <c r="E17" s="128">
        <v>2.2549899999999998</v>
      </c>
      <c r="F17" s="128">
        <v>44.789555607785402</v>
      </c>
      <c r="G17" s="119">
        <v>5.7594757389435002E-2</v>
      </c>
      <c r="H17" s="119">
        <v>4.6505609430873798E-2</v>
      </c>
    </row>
    <row r="18" spans="2:20" x14ac:dyDescent="0.2">
      <c r="B18" s="116">
        <v>2024</v>
      </c>
      <c r="C18" s="117">
        <v>116</v>
      </c>
      <c r="D18" s="117">
        <v>225499</v>
      </c>
      <c r="E18" s="129">
        <v>2.2549899999999998</v>
      </c>
      <c r="F18" s="129">
        <v>51.4414698069615</v>
      </c>
      <c r="G18" s="120">
        <v>0.214663285714599</v>
      </c>
      <c r="H18" s="120">
        <v>0.14851485148514901</v>
      </c>
    </row>
    <row r="19" spans="2:20" ht="30" customHeight="1" x14ac:dyDescent="0.25">
      <c r="B19" s="121" t="s">
        <v>202</v>
      </c>
      <c r="C19" s="122">
        <v>81.400000000000006</v>
      </c>
      <c r="D19" s="122">
        <v>192206</v>
      </c>
      <c r="E19" s="130">
        <v>1.9220600000000001</v>
      </c>
      <c r="F19" s="130">
        <v>42.350394888817199</v>
      </c>
      <c r="G19" s="131"/>
      <c r="H19" s="24"/>
    </row>
    <row r="21" spans="2:20" x14ac:dyDescent="0.2">
      <c r="B21" s="9" t="s">
        <v>313</v>
      </c>
    </row>
    <row r="22" spans="2:20" x14ac:dyDescent="0.2">
      <c r="B22" s="9" t="s">
        <v>397</v>
      </c>
    </row>
    <row r="24" spans="2:20" x14ac:dyDescent="0.2">
      <c r="B24" s="1" t="str">
        <f>HYPERLINK("#'Contents'!A1", "Return to Contents Page")</f>
        <v>Return to Contents Page</v>
      </c>
    </row>
    <row r="28" spans="2:20" x14ac:dyDescent="0.2">
      <c r="B28" t="s">
        <v>63</v>
      </c>
    </row>
    <row r="29" spans="2:20" ht="42" customHeight="1" x14ac:dyDescent="0.25">
      <c r="B29" s="222" t="s">
        <v>398</v>
      </c>
      <c r="C29" s="223"/>
      <c r="D29" s="223"/>
      <c r="E29" s="223"/>
      <c r="F29" s="223"/>
      <c r="G29" s="223"/>
      <c r="H29" s="223"/>
      <c r="I29" s="223"/>
      <c r="L29" s="222" t="s">
        <v>399</v>
      </c>
      <c r="M29" s="223"/>
      <c r="N29" s="223"/>
      <c r="O29" s="223"/>
      <c r="P29" s="223"/>
      <c r="Q29" s="223"/>
      <c r="R29" s="223"/>
      <c r="S29" s="223"/>
      <c r="T29" s="223"/>
    </row>
    <row r="30" spans="2:20" x14ac:dyDescent="0.2">
      <c r="B30" t="s">
        <v>196</v>
      </c>
    </row>
    <row r="32" spans="2:20" ht="45" customHeight="1" thickBot="1" x14ac:dyDescent="0.3">
      <c r="B32" s="110" t="s">
        <v>197</v>
      </c>
      <c r="C32" s="111" t="s">
        <v>392</v>
      </c>
      <c r="D32" s="111" t="s">
        <v>393</v>
      </c>
      <c r="E32" s="111" t="s">
        <v>394</v>
      </c>
      <c r="F32" s="111" t="s">
        <v>395</v>
      </c>
      <c r="G32" s="111" t="s">
        <v>199</v>
      </c>
      <c r="H32" s="111" t="s">
        <v>311</v>
      </c>
    </row>
    <row r="33" spans="2:8" ht="15" thickTop="1" x14ac:dyDescent="0.2">
      <c r="B33" s="124" t="s">
        <v>207</v>
      </c>
      <c r="C33" s="113">
        <v>81.400000000000006</v>
      </c>
      <c r="D33" s="113">
        <v>192206</v>
      </c>
      <c r="E33" s="127">
        <v>1.9220600000000001</v>
      </c>
      <c r="F33" s="127">
        <v>42.350394888817199</v>
      </c>
      <c r="G33" s="118"/>
      <c r="H33" s="118"/>
    </row>
    <row r="34" spans="2:8" x14ac:dyDescent="0.2">
      <c r="B34" s="125" t="s">
        <v>208</v>
      </c>
      <c r="C34" s="115">
        <v>86.8</v>
      </c>
      <c r="D34" s="115">
        <v>197596</v>
      </c>
      <c r="E34" s="128">
        <v>1.9759599999999999</v>
      </c>
      <c r="F34" s="128">
        <v>43.928014737140401</v>
      </c>
      <c r="G34" s="119">
        <v>3.7251597121230197E-2</v>
      </c>
      <c r="H34" s="119">
        <v>3.7251597121230197E-2</v>
      </c>
    </row>
    <row r="35" spans="2:8" x14ac:dyDescent="0.2">
      <c r="B35" s="126" t="s">
        <v>209</v>
      </c>
      <c r="C35" s="117">
        <v>85</v>
      </c>
      <c r="D35" s="117">
        <v>202869</v>
      </c>
      <c r="E35" s="129">
        <v>2.0286900000000001</v>
      </c>
      <c r="F35" s="129">
        <v>41.898959427019399</v>
      </c>
      <c r="G35" s="120">
        <v>-1.0659533706426E-2</v>
      </c>
      <c r="H35" s="120">
        <v>-4.61904623339486E-2</v>
      </c>
    </row>
    <row r="36" spans="2:8" x14ac:dyDescent="0.2">
      <c r="B36" s="125" t="s">
        <v>210</v>
      </c>
      <c r="C36" s="115">
        <v>83.4</v>
      </c>
      <c r="D36" s="115">
        <v>207984</v>
      </c>
      <c r="E36" s="128">
        <v>2.0798399999999999</v>
      </c>
      <c r="F36" s="128">
        <v>40.0992384029541</v>
      </c>
      <c r="G36" s="119">
        <v>-5.3155501661155798E-2</v>
      </c>
      <c r="H36" s="119">
        <v>-4.2953835815424599E-2</v>
      </c>
    </row>
    <row r="37" spans="2:8" x14ac:dyDescent="0.2">
      <c r="B37" s="126" t="s">
        <v>211</v>
      </c>
      <c r="C37" s="117">
        <v>84</v>
      </c>
      <c r="D37" s="117">
        <v>212950</v>
      </c>
      <c r="E37" s="129">
        <v>2.1295000000000002</v>
      </c>
      <c r="F37" s="129">
        <v>39.445879314392997</v>
      </c>
      <c r="G37" s="120">
        <v>-6.8582963206114303E-2</v>
      </c>
      <c r="H37" s="120">
        <v>-1.6293553558186801E-2</v>
      </c>
    </row>
    <row r="38" spans="2:8" x14ac:dyDescent="0.2">
      <c r="B38" s="125" t="s">
        <v>212</v>
      </c>
      <c r="C38" s="115">
        <v>88.4</v>
      </c>
      <c r="D38" s="115">
        <v>216808</v>
      </c>
      <c r="E38" s="128">
        <v>2.1680799999999998</v>
      </c>
      <c r="F38" s="128">
        <v>40.773403195454101</v>
      </c>
      <c r="G38" s="119">
        <v>-3.72367647929433E-2</v>
      </c>
      <c r="H38" s="119">
        <v>3.3654310770469202E-2</v>
      </c>
    </row>
    <row r="39" spans="2:8" x14ac:dyDescent="0.2">
      <c r="B39" s="126" t="s">
        <v>213</v>
      </c>
      <c r="C39" s="117">
        <v>90.8</v>
      </c>
      <c r="D39" s="117">
        <v>220866</v>
      </c>
      <c r="E39" s="129">
        <v>2.2086600000000001</v>
      </c>
      <c r="F39" s="129">
        <v>41.110899821611298</v>
      </c>
      <c r="G39" s="120">
        <v>-2.9267615342430001E-2</v>
      </c>
      <c r="H39" s="120">
        <v>8.2773720049659303E-3</v>
      </c>
    </row>
    <row r="40" spans="2:8" ht="30" x14ac:dyDescent="0.25">
      <c r="B40" s="121" t="s">
        <v>222</v>
      </c>
      <c r="C40" s="122">
        <v>81.400000000000006</v>
      </c>
      <c r="D40" s="122">
        <v>192206</v>
      </c>
      <c r="E40" s="130">
        <v>1.9220600000000001</v>
      </c>
      <c r="F40" s="130">
        <v>42.350394888817199</v>
      </c>
      <c r="G40" s="131"/>
      <c r="H40" s="24"/>
    </row>
    <row r="41" spans="2:8" x14ac:dyDescent="0.2">
      <c r="C41" s="7"/>
      <c r="D41" s="7"/>
      <c r="E41" s="21"/>
      <c r="F41" s="21"/>
      <c r="G41" s="8"/>
      <c r="H41" s="8"/>
    </row>
    <row r="42" spans="2:8" x14ac:dyDescent="0.2">
      <c r="B42" s="9" t="s">
        <v>313</v>
      </c>
      <c r="C42" s="7"/>
      <c r="D42" s="7"/>
      <c r="E42" s="21"/>
      <c r="F42" s="21"/>
      <c r="G42" s="8"/>
      <c r="H42" s="8"/>
    </row>
    <row r="43" spans="2:8" x14ac:dyDescent="0.2">
      <c r="B43" s="9" t="s">
        <v>397</v>
      </c>
      <c r="C43" s="7"/>
      <c r="D43" s="7"/>
      <c r="E43" s="21"/>
      <c r="F43" s="21"/>
      <c r="G43" s="8"/>
      <c r="H43" s="8"/>
    </row>
    <row r="44" spans="2:8" x14ac:dyDescent="0.2">
      <c r="C44" s="7"/>
      <c r="D44" s="7"/>
      <c r="E44" s="21"/>
      <c r="F44" s="21"/>
      <c r="G44" s="8"/>
      <c r="H44" s="8"/>
    </row>
    <row r="45" spans="2:8" x14ac:dyDescent="0.2">
      <c r="C45" s="7"/>
      <c r="D45" s="7"/>
      <c r="E45" s="21"/>
      <c r="F45" s="21"/>
      <c r="G45" s="8"/>
      <c r="H45" s="8"/>
    </row>
    <row r="46" spans="2:8" x14ac:dyDescent="0.2">
      <c r="B46" s="1" t="str">
        <f>HYPERLINK("#'Contents'!A1", "Return to Contents Page")</f>
        <v>Return to Contents Page</v>
      </c>
      <c r="C46" s="7"/>
      <c r="D46" s="7"/>
      <c r="E46" s="21"/>
      <c r="F46" s="21"/>
      <c r="G46" s="8"/>
      <c r="H46" s="8"/>
    </row>
    <row r="47" spans="2:8" x14ac:dyDescent="0.2">
      <c r="C47" s="7"/>
      <c r="D47" s="7"/>
      <c r="E47" s="21"/>
      <c r="F47" s="21"/>
      <c r="G47" s="8"/>
      <c r="H47" s="8"/>
    </row>
    <row r="48" spans="2:8" x14ac:dyDescent="0.2">
      <c r="C48" s="7"/>
      <c r="D48" s="7"/>
      <c r="E48" s="21"/>
      <c r="F48" s="21"/>
      <c r="G48" s="8"/>
      <c r="H48" s="8"/>
    </row>
    <row r="49" spans="2:8" x14ac:dyDescent="0.2">
      <c r="C49" s="7"/>
      <c r="D49" s="7"/>
      <c r="E49" s="21"/>
      <c r="F49" s="21"/>
      <c r="G49" s="8"/>
      <c r="H49" s="8"/>
    </row>
    <row r="50" spans="2:8" x14ac:dyDescent="0.2">
      <c r="C50" s="7"/>
      <c r="D50" s="7"/>
      <c r="E50" s="21"/>
      <c r="F50" s="21"/>
      <c r="G50" s="8"/>
      <c r="H50" s="8"/>
    </row>
    <row r="51" spans="2:8" x14ac:dyDescent="0.2">
      <c r="B51" s="13"/>
      <c r="C51" s="7"/>
      <c r="D51" s="7"/>
      <c r="E51" s="21"/>
      <c r="F51" s="21"/>
      <c r="G51" s="8"/>
      <c r="H51" s="8"/>
    </row>
    <row r="52" spans="2:8" x14ac:dyDescent="0.2">
      <c r="B52" s="13"/>
      <c r="E52" s="21"/>
      <c r="F52" s="21"/>
      <c r="G52" s="8"/>
      <c r="H52" s="8"/>
    </row>
    <row r="53" spans="2:8" x14ac:dyDescent="0.2">
      <c r="B53" s="13"/>
      <c r="E53" s="21"/>
      <c r="F53" s="21"/>
      <c r="G53" s="8"/>
      <c r="H53" s="8"/>
    </row>
    <row r="54" spans="2:8" x14ac:dyDescent="0.2">
      <c r="B54" s="13"/>
    </row>
    <row r="55" spans="2:8" x14ac:dyDescent="0.2">
      <c r="B55" s="13"/>
    </row>
    <row r="56" spans="2:8" x14ac:dyDescent="0.2">
      <c r="B56" s="13"/>
    </row>
    <row r="57" spans="2:8" x14ac:dyDescent="0.2">
      <c r="B57" s="13"/>
    </row>
    <row r="58" spans="2:8" x14ac:dyDescent="0.2">
      <c r="B58" s="13"/>
    </row>
    <row r="59" spans="2:8" x14ac:dyDescent="0.2">
      <c r="B59" s="13"/>
    </row>
    <row r="60" spans="2:8" x14ac:dyDescent="0.2">
      <c r="B60" s="13"/>
    </row>
  </sheetData>
  <mergeCells count="4">
    <mergeCell ref="B4:H4"/>
    <mergeCell ref="L4:R4"/>
    <mergeCell ref="B29:I29"/>
    <mergeCell ref="L29:T29"/>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400</v>
      </c>
    </row>
    <row r="3" spans="2:8" x14ac:dyDescent="0.2">
      <c r="B3" t="s">
        <v>65</v>
      </c>
    </row>
    <row r="4" spans="2:8" ht="15" x14ac:dyDescent="0.25">
      <c r="B4" s="6" t="s">
        <v>66</v>
      </c>
      <c r="H4" s="6" t="s">
        <v>402</v>
      </c>
    </row>
    <row r="5" spans="2:8" x14ac:dyDescent="0.2">
      <c r="B5" t="s">
        <v>196</v>
      </c>
    </row>
    <row r="7" spans="2:8" ht="45" customHeight="1" thickBot="1" x14ac:dyDescent="0.3">
      <c r="B7" s="110" t="s">
        <v>197</v>
      </c>
      <c r="C7" s="111" t="s">
        <v>401</v>
      </c>
      <c r="D7" s="111" t="s">
        <v>199</v>
      </c>
      <c r="E7" s="111" t="s">
        <v>200</v>
      </c>
    </row>
    <row r="8" spans="2:8" ht="15" thickTop="1" x14ac:dyDescent="0.2">
      <c r="B8" s="112">
        <v>2014</v>
      </c>
      <c r="C8" s="113">
        <v>55</v>
      </c>
      <c r="D8" s="118"/>
      <c r="E8" s="118"/>
    </row>
    <row r="9" spans="2:8" x14ac:dyDescent="0.2">
      <c r="B9" s="114">
        <v>2015</v>
      </c>
      <c r="C9" s="115">
        <v>42</v>
      </c>
      <c r="D9" s="119"/>
      <c r="E9" s="119">
        <v>-0.236363636363636</v>
      </c>
    </row>
    <row r="10" spans="2:8" x14ac:dyDescent="0.2">
      <c r="B10" s="116">
        <v>2016</v>
      </c>
      <c r="C10" s="117">
        <v>46</v>
      </c>
      <c r="D10" s="120"/>
      <c r="E10" s="120">
        <v>9.5238095238095205E-2</v>
      </c>
    </row>
    <row r="11" spans="2:8" x14ac:dyDescent="0.2">
      <c r="B11" s="114">
        <v>2017</v>
      </c>
      <c r="C11" s="115">
        <v>41</v>
      </c>
      <c r="D11" s="119"/>
      <c r="E11" s="119">
        <v>-0.108695652173913</v>
      </c>
    </row>
    <row r="12" spans="2:8" x14ac:dyDescent="0.2">
      <c r="B12" s="116">
        <v>2018</v>
      </c>
      <c r="C12" s="117">
        <v>36</v>
      </c>
      <c r="D12" s="120"/>
      <c r="E12" s="120">
        <v>-0.12195121951219499</v>
      </c>
    </row>
    <row r="13" spans="2:8" x14ac:dyDescent="0.2">
      <c r="B13" s="114">
        <v>2019</v>
      </c>
      <c r="C13" s="115">
        <v>34</v>
      </c>
      <c r="D13" s="119">
        <v>-0.22727272727272699</v>
      </c>
      <c r="E13" s="119">
        <v>-5.5555555555555601E-2</v>
      </c>
    </row>
    <row r="14" spans="2:8" x14ac:dyDescent="0.2">
      <c r="B14" s="116">
        <v>2020</v>
      </c>
      <c r="C14" s="117">
        <v>41</v>
      </c>
      <c r="D14" s="120">
        <v>-6.8181818181818205E-2</v>
      </c>
      <c r="E14" s="120">
        <v>0.20588235294117599</v>
      </c>
    </row>
    <row r="15" spans="2:8" x14ac:dyDescent="0.2">
      <c r="B15" s="114">
        <v>2021</v>
      </c>
      <c r="C15" s="115">
        <v>35</v>
      </c>
      <c r="D15" s="119">
        <v>-0.204545454545455</v>
      </c>
      <c r="E15" s="119">
        <v>-0.146341463414634</v>
      </c>
    </row>
    <row r="16" spans="2:8" x14ac:dyDescent="0.2">
      <c r="B16" s="116">
        <v>2022</v>
      </c>
      <c r="C16" s="117">
        <v>30</v>
      </c>
      <c r="D16" s="120">
        <v>-0.31818181818181801</v>
      </c>
      <c r="E16" s="120">
        <v>-0.14285714285714299</v>
      </c>
    </row>
    <row r="17" spans="2:12" x14ac:dyDescent="0.2">
      <c r="B17" s="114">
        <v>2023</v>
      </c>
      <c r="C17" s="115">
        <v>47</v>
      </c>
      <c r="D17" s="119">
        <v>6.8181818181818205E-2</v>
      </c>
      <c r="E17" s="119">
        <v>0.56666666666666698</v>
      </c>
    </row>
    <row r="18" spans="2:12" x14ac:dyDescent="0.2">
      <c r="B18" s="116">
        <v>2024</v>
      </c>
      <c r="C18" s="117">
        <v>48</v>
      </c>
      <c r="D18" s="120">
        <v>9.0909090909090898E-2</v>
      </c>
      <c r="E18" s="120">
        <v>2.1276595744680899E-2</v>
      </c>
    </row>
    <row r="19" spans="2:12" ht="30" customHeight="1" x14ac:dyDescent="0.25">
      <c r="B19" s="121" t="s">
        <v>202</v>
      </c>
      <c r="C19" s="122">
        <v>44</v>
      </c>
      <c r="D19" s="123"/>
      <c r="E19" s="14"/>
    </row>
    <row r="21" spans="2:12" x14ac:dyDescent="0.2">
      <c r="B21" s="9" t="s">
        <v>203</v>
      </c>
    </row>
    <row r="23" spans="2:12" x14ac:dyDescent="0.2">
      <c r="B23" s="1" t="str">
        <f>HYPERLINK("#'Contents'!A1", "Return to Contents Page")</f>
        <v>Return to Contents Page</v>
      </c>
    </row>
    <row r="26" spans="2:12" ht="15" x14ac:dyDescent="0.25">
      <c r="B26" s="6" t="s">
        <v>67</v>
      </c>
    </row>
    <row r="27" spans="2:12" ht="30" customHeight="1" x14ac:dyDescent="0.25">
      <c r="B27" s="222" t="s">
        <v>403</v>
      </c>
      <c r="C27" s="223"/>
      <c r="D27" s="223"/>
      <c r="E27" s="223"/>
      <c r="H27" s="222" t="s">
        <v>404</v>
      </c>
      <c r="I27" s="223"/>
      <c r="J27" s="223"/>
      <c r="K27" s="223"/>
      <c r="L27" s="223"/>
    </row>
    <row r="28" spans="2:12" ht="15" x14ac:dyDescent="0.25">
      <c r="B28" s="6" t="s">
        <v>196</v>
      </c>
    </row>
    <row r="30" spans="2:12" ht="45" customHeight="1" thickBot="1" x14ac:dyDescent="0.3">
      <c r="B30" s="110" t="s">
        <v>197</v>
      </c>
      <c r="C30" s="111" t="s">
        <v>401</v>
      </c>
      <c r="D30" s="111" t="s">
        <v>199</v>
      </c>
      <c r="E30" s="111" t="s">
        <v>206</v>
      </c>
    </row>
    <row r="31" spans="2:12" ht="15" thickTop="1" x14ac:dyDescent="0.2">
      <c r="B31" s="124" t="s">
        <v>207</v>
      </c>
      <c r="C31" s="113">
        <v>44</v>
      </c>
      <c r="D31" s="118"/>
      <c r="E31" s="118"/>
    </row>
    <row r="32" spans="2:12" x14ac:dyDescent="0.2">
      <c r="B32" s="125" t="s">
        <v>208</v>
      </c>
      <c r="C32" s="115">
        <v>39.799999999999997</v>
      </c>
      <c r="D32" s="119">
        <v>-9.54545454545455E-2</v>
      </c>
      <c r="E32" s="119">
        <v>-9.54545454545455E-2</v>
      </c>
    </row>
    <row r="33" spans="2:5" x14ac:dyDescent="0.2">
      <c r="B33" s="126" t="s">
        <v>209</v>
      </c>
      <c r="C33" s="117">
        <v>39.6</v>
      </c>
      <c r="D33" s="120">
        <v>-0.1</v>
      </c>
      <c r="E33" s="120">
        <v>-5.0251256281406004E-3</v>
      </c>
    </row>
    <row r="34" spans="2:5" x14ac:dyDescent="0.2">
      <c r="B34" s="125" t="s">
        <v>210</v>
      </c>
      <c r="C34" s="115">
        <v>37.4</v>
      </c>
      <c r="D34" s="119">
        <v>-0.15</v>
      </c>
      <c r="E34" s="119">
        <v>-5.5555555555555601E-2</v>
      </c>
    </row>
    <row r="35" spans="2:5" x14ac:dyDescent="0.2">
      <c r="B35" s="126" t="s">
        <v>211</v>
      </c>
      <c r="C35" s="117">
        <v>35.200000000000003</v>
      </c>
      <c r="D35" s="120">
        <v>-0.2</v>
      </c>
      <c r="E35" s="120">
        <v>-5.8823529411764601E-2</v>
      </c>
    </row>
    <row r="36" spans="2:5" x14ac:dyDescent="0.2">
      <c r="B36" s="125" t="s">
        <v>212</v>
      </c>
      <c r="C36" s="115">
        <v>37.4</v>
      </c>
      <c r="D36" s="119">
        <v>-0.15</v>
      </c>
      <c r="E36" s="119">
        <v>6.2499999999999903E-2</v>
      </c>
    </row>
    <row r="37" spans="2:5" x14ac:dyDescent="0.2">
      <c r="B37" s="126" t="s">
        <v>213</v>
      </c>
      <c r="C37" s="117">
        <v>40.200000000000003</v>
      </c>
      <c r="D37" s="120">
        <v>-8.6363636363636295E-2</v>
      </c>
      <c r="E37" s="120">
        <v>7.4866310160427899E-2</v>
      </c>
    </row>
    <row r="38" spans="2:5" ht="30" x14ac:dyDescent="0.25">
      <c r="B38" s="121" t="s">
        <v>214</v>
      </c>
      <c r="C38" s="122">
        <v>44</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2">
    <mergeCell ref="B27:E27"/>
    <mergeCell ref="H27:L27"/>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405</v>
      </c>
    </row>
    <row r="3" spans="2:8" x14ac:dyDescent="0.2">
      <c r="B3" t="s">
        <v>69</v>
      </c>
    </row>
    <row r="4" spans="2:8" ht="15" x14ac:dyDescent="0.25">
      <c r="B4" s="6" t="s">
        <v>70</v>
      </c>
      <c r="H4" s="6" t="s">
        <v>407</v>
      </c>
    </row>
    <row r="5" spans="2:8" x14ac:dyDescent="0.2">
      <c r="B5" t="s">
        <v>196</v>
      </c>
    </row>
    <row r="7" spans="2:8" ht="45" customHeight="1" thickBot="1" x14ac:dyDescent="0.3">
      <c r="B7" s="110" t="s">
        <v>197</v>
      </c>
      <c r="C7" s="111" t="s">
        <v>406</v>
      </c>
      <c r="D7" s="111" t="s">
        <v>199</v>
      </c>
      <c r="E7" s="111" t="s">
        <v>200</v>
      </c>
    </row>
    <row r="8" spans="2:8" ht="15" thickTop="1" x14ac:dyDescent="0.2">
      <c r="B8" s="112">
        <v>2014</v>
      </c>
      <c r="C8" s="113">
        <v>2</v>
      </c>
      <c r="D8" s="118"/>
      <c r="E8" s="118"/>
    </row>
    <row r="9" spans="2:8" x14ac:dyDescent="0.2">
      <c r="B9" s="114">
        <v>2015</v>
      </c>
      <c r="C9" s="115">
        <v>4</v>
      </c>
      <c r="D9" s="119"/>
      <c r="E9" s="119" t="s">
        <v>301</v>
      </c>
    </row>
    <row r="10" spans="2:8" x14ac:dyDescent="0.2">
      <c r="B10" s="116">
        <v>2016</v>
      </c>
      <c r="C10" s="117">
        <v>1</v>
      </c>
      <c r="D10" s="120"/>
      <c r="E10" s="120" t="s">
        <v>301</v>
      </c>
    </row>
    <row r="11" spans="2:8" x14ac:dyDescent="0.2">
      <c r="B11" s="114">
        <v>2017</v>
      </c>
      <c r="C11" s="115">
        <v>2</v>
      </c>
      <c r="D11" s="119"/>
      <c r="E11" s="119" t="s">
        <v>301</v>
      </c>
    </row>
    <row r="12" spans="2:8" x14ac:dyDescent="0.2">
      <c r="B12" s="116">
        <v>2018</v>
      </c>
      <c r="C12" s="117">
        <v>2</v>
      </c>
      <c r="D12" s="120"/>
      <c r="E12" s="120" t="s">
        <v>301</v>
      </c>
    </row>
    <row r="13" spans="2:8" x14ac:dyDescent="0.2">
      <c r="B13" s="114">
        <v>2019</v>
      </c>
      <c r="C13" s="115">
        <v>1</v>
      </c>
      <c r="D13" s="119" t="s">
        <v>301</v>
      </c>
      <c r="E13" s="119" t="s">
        <v>301</v>
      </c>
    </row>
    <row r="14" spans="2:8" x14ac:dyDescent="0.2">
      <c r="B14" s="116">
        <v>2020</v>
      </c>
      <c r="C14" s="117">
        <v>1</v>
      </c>
      <c r="D14" s="120" t="s">
        <v>301</v>
      </c>
      <c r="E14" s="120" t="s">
        <v>301</v>
      </c>
    </row>
    <row r="15" spans="2:8" x14ac:dyDescent="0.2">
      <c r="B15" s="114">
        <v>2021</v>
      </c>
      <c r="C15" s="115">
        <v>2</v>
      </c>
      <c r="D15" s="119" t="s">
        <v>301</v>
      </c>
      <c r="E15" s="119" t="s">
        <v>301</v>
      </c>
    </row>
    <row r="16" spans="2:8" x14ac:dyDescent="0.2">
      <c r="B16" s="116">
        <v>2022</v>
      </c>
      <c r="C16" s="117">
        <v>2</v>
      </c>
      <c r="D16" s="120" t="s">
        <v>301</v>
      </c>
      <c r="E16" s="120" t="s">
        <v>301</v>
      </c>
    </row>
    <row r="17" spans="2:12" x14ac:dyDescent="0.2">
      <c r="B17" s="114">
        <v>2023</v>
      </c>
      <c r="C17" s="115">
        <v>1</v>
      </c>
      <c r="D17" s="119" t="s">
        <v>301</v>
      </c>
      <c r="E17" s="119" t="s">
        <v>301</v>
      </c>
    </row>
    <row r="18" spans="2:12" x14ac:dyDescent="0.2">
      <c r="B18" s="116">
        <v>2024</v>
      </c>
      <c r="C18" s="117">
        <v>1</v>
      </c>
      <c r="D18" s="120" t="s">
        <v>301</v>
      </c>
      <c r="E18" s="120" t="s">
        <v>301</v>
      </c>
    </row>
    <row r="19" spans="2:12" ht="30" customHeight="1" x14ac:dyDescent="0.25">
      <c r="B19" s="121" t="s">
        <v>202</v>
      </c>
      <c r="C19" s="122">
        <v>2.2000000000000002</v>
      </c>
      <c r="D19" s="123"/>
      <c r="E19" s="14"/>
    </row>
    <row r="21" spans="2:12" x14ac:dyDescent="0.2">
      <c r="B21" s="9" t="s">
        <v>203</v>
      </c>
    </row>
    <row r="23" spans="2:12" x14ac:dyDescent="0.2">
      <c r="B23" s="1" t="str">
        <f>HYPERLINK("#'Contents'!A1", "Return to Contents Page")</f>
        <v>Return to Contents Page</v>
      </c>
    </row>
    <row r="26" spans="2:12" ht="15" x14ac:dyDescent="0.25">
      <c r="B26" s="6" t="s">
        <v>71</v>
      </c>
    </row>
    <row r="27" spans="2:12" ht="30" customHeight="1" x14ac:dyDescent="0.25">
      <c r="B27" s="222" t="s">
        <v>72</v>
      </c>
      <c r="C27" s="223"/>
      <c r="D27" s="223"/>
      <c r="E27" s="223"/>
      <c r="H27" s="222" t="s">
        <v>408</v>
      </c>
      <c r="I27" s="223"/>
      <c r="J27" s="223"/>
      <c r="K27" s="223"/>
      <c r="L27" s="223"/>
    </row>
    <row r="28" spans="2:12" ht="15" x14ac:dyDescent="0.25">
      <c r="B28" s="6" t="s">
        <v>196</v>
      </c>
    </row>
    <row r="30" spans="2:12" ht="45" customHeight="1" thickBot="1" x14ac:dyDescent="0.3">
      <c r="B30" s="110" t="s">
        <v>197</v>
      </c>
      <c r="C30" s="111" t="s">
        <v>406</v>
      </c>
      <c r="D30" s="111" t="s">
        <v>199</v>
      </c>
      <c r="E30" s="111" t="s">
        <v>206</v>
      </c>
    </row>
    <row r="31" spans="2:12" ht="15" thickTop="1" x14ac:dyDescent="0.2">
      <c r="B31" s="124" t="s">
        <v>207</v>
      </c>
      <c r="C31" s="113">
        <v>2.2000000000000002</v>
      </c>
      <c r="D31" s="118"/>
      <c r="E31" s="118"/>
    </row>
    <row r="32" spans="2:12" x14ac:dyDescent="0.2">
      <c r="B32" s="125" t="s">
        <v>208</v>
      </c>
      <c r="C32" s="115">
        <v>2</v>
      </c>
      <c r="D32" s="119" t="s">
        <v>301</v>
      </c>
      <c r="E32" s="119" t="s">
        <v>301</v>
      </c>
    </row>
    <row r="33" spans="2:5" x14ac:dyDescent="0.2">
      <c r="B33" s="126" t="s">
        <v>209</v>
      </c>
      <c r="C33" s="117">
        <v>1.4</v>
      </c>
      <c r="D33" s="120" t="s">
        <v>301</v>
      </c>
      <c r="E33" s="120" t="s">
        <v>301</v>
      </c>
    </row>
    <row r="34" spans="2:5" x14ac:dyDescent="0.2">
      <c r="B34" s="125" t="s">
        <v>210</v>
      </c>
      <c r="C34" s="115">
        <v>1.6</v>
      </c>
      <c r="D34" s="119" t="s">
        <v>301</v>
      </c>
      <c r="E34" s="119" t="s">
        <v>301</v>
      </c>
    </row>
    <row r="35" spans="2:5" x14ac:dyDescent="0.2">
      <c r="B35" s="126" t="s">
        <v>211</v>
      </c>
      <c r="C35" s="117">
        <v>1.6</v>
      </c>
      <c r="D35" s="120" t="s">
        <v>301</v>
      </c>
      <c r="E35" s="120" t="s">
        <v>301</v>
      </c>
    </row>
    <row r="36" spans="2:5" x14ac:dyDescent="0.2">
      <c r="B36" s="125" t="s">
        <v>212</v>
      </c>
      <c r="C36" s="115">
        <v>1.4</v>
      </c>
      <c r="D36" s="119" t="s">
        <v>301</v>
      </c>
      <c r="E36" s="119" t="s">
        <v>301</v>
      </c>
    </row>
    <row r="37" spans="2:5" x14ac:dyDescent="0.2">
      <c r="B37" s="126" t="s">
        <v>213</v>
      </c>
      <c r="C37" s="117">
        <v>1.4</v>
      </c>
      <c r="D37" s="120" t="s">
        <v>301</v>
      </c>
      <c r="E37" s="120" t="s">
        <v>301</v>
      </c>
    </row>
    <row r="38" spans="2:5" ht="30" x14ac:dyDescent="0.25">
      <c r="B38" s="121" t="s">
        <v>214</v>
      </c>
      <c r="C38" s="122">
        <v>2.2000000000000002</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2">
    <mergeCell ref="B27:E27"/>
    <mergeCell ref="H27:L27"/>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50"/>
  <sheetViews>
    <sheetView showGridLines="0" workbookViewId="0"/>
  </sheetViews>
  <sheetFormatPr defaultColWidth="11" defaultRowHeight="14.25" x14ac:dyDescent="0.2"/>
  <cols>
    <col min="2" max="2" width="12.75" customWidth="1"/>
    <col min="4" max="5" width="12.25" customWidth="1"/>
  </cols>
  <sheetData>
    <row r="1" spans="2:9" ht="15" x14ac:dyDescent="0.25">
      <c r="B1" s="6" t="s">
        <v>409</v>
      </c>
    </row>
    <row r="3" spans="2:9" x14ac:dyDescent="0.2">
      <c r="B3" t="s">
        <v>73</v>
      </c>
    </row>
    <row r="4" spans="2:9" ht="15" x14ac:dyDescent="0.25">
      <c r="B4" s="6" t="s">
        <v>74</v>
      </c>
      <c r="I4" s="6" t="s">
        <v>410</v>
      </c>
    </row>
    <row r="5" spans="2:9" x14ac:dyDescent="0.2">
      <c r="B5" t="s">
        <v>196</v>
      </c>
    </row>
    <row r="7" spans="2:9" ht="45" customHeight="1" thickBot="1" x14ac:dyDescent="0.3">
      <c r="B7" s="110" t="s">
        <v>197</v>
      </c>
      <c r="C7" s="111" t="s">
        <v>198</v>
      </c>
      <c r="D7" s="111" t="s">
        <v>199</v>
      </c>
      <c r="E7" s="111" t="s">
        <v>200</v>
      </c>
    </row>
    <row r="8" spans="2:9" ht="15" thickTop="1" x14ac:dyDescent="0.2">
      <c r="B8" s="112">
        <v>2014</v>
      </c>
      <c r="C8" s="113">
        <v>22</v>
      </c>
      <c r="D8" s="118"/>
      <c r="E8" s="118"/>
    </row>
    <row r="9" spans="2:9" x14ac:dyDescent="0.2">
      <c r="B9" s="114">
        <v>2015</v>
      </c>
      <c r="C9" s="115">
        <v>15</v>
      </c>
      <c r="D9" s="119"/>
      <c r="E9" s="119">
        <v>-0.31818181818181801</v>
      </c>
    </row>
    <row r="10" spans="2:9" x14ac:dyDescent="0.2">
      <c r="B10" s="116">
        <v>2016</v>
      </c>
      <c r="C10" s="117">
        <v>23</v>
      </c>
      <c r="D10" s="120"/>
      <c r="E10" s="120">
        <v>0.53333333333333299</v>
      </c>
    </row>
    <row r="11" spans="2:9" x14ac:dyDescent="0.2">
      <c r="B11" s="114">
        <v>2017</v>
      </c>
      <c r="C11" s="115">
        <v>13</v>
      </c>
      <c r="D11" s="119"/>
      <c r="E11" s="119">
        <v>-0.434782608695652</v>
      </c>
    </row>
    <row r="12" spans="2:9" x14ac:dyDescent="0.2">
      <c r="B12" s="116">
        <v>2018</v>
      </c>
      <c r="C12" s="117">
        <v>14</v>
      </c>
      <c r="D12" s="120"/>
      <c r="E12" s="120">
        <v>7.69230769230769E-2</v>
      </c>
    </row>
    <row r="13" spans="2:9" x14ac:dyDescent="0.2">
      <c r="B13" s="114">
        <v>2019</v>
      </c>
      <c r="C13" s="115">
        <v>12</v>
      </c>
      <c r="D13" s="119">
        <v>-0.31034482758620702</v>
      </c>
      <c r="E13" s="119">
        <v>-0.14285714285714299</v>
      </c>
    </row>
    <row r="14" spans="2:9" x14ac:dyDescent="0.2">
      <c r="B14" s="116">
        <v>2020</v>
      </c>
      <c r="C14" s="117">
        <v>7</v>
      </c>
      <c r="D14" s="120">
        <v>-0.59770114942528696</v>
      </c>
      <c r="E14" s="120">
        <v>-0.41666666666666702</v>
      </c>
    </row>
    <row r="15" spans="2:9" x14ac:dyDescent="0.2">
      <c r="B15" s="114">
        <v>2021</v>
      </c>
      <c r="C15" s="115">
        <v>7</v>
      </c>
      <c r="D15" s="119">
        <v>-0.59770114942528696</v>
      </c>
      <c r="E15" s="119" t="s">
        <v>301</v>
      </c>
    </row>
    <row r="16" spans="2:9" x14ac:dyDescent="0.2">
      <c r="B16" s="116">
        <v>2022</v>
      </c>
      <c r="C16" s="117">
        <v>10</v>
      </c>
      <c r="D16" s="120">
        <v>-0.42528735632183901</v>
      </c>
      <c r="E16" s="120" t="s">
        <v>301</v>
      </c>
    </row>
    <row r="17" spans="2:17" x14ac:dyDescent="0.2">
      <c r="B17" s="114">
        <v>2023</v>
      </c>
      <c r="C17" s="115">
        <v>11</v>
      </c>
      <c r="D17" s="119">
        <v>-0.36781609195402298</v>
      </c>
      <c r="E17" s="119">
        <v>0.1</v>
      </c>
    </row>
    <row r="18" spans="2:17" x14ac:dyDescent="0.2">
      <c r="B18" s="116">
        <v>2024</v>
      </c>
      <c r="C18" s="117">
        <v>16</v>
      </c>
      <c r="D18" s="120">
        <v>-8.04597701149425E-2</v>
      </c>
      <c r="E18" s="120">
        <v>0.45454545454545497</v>
      </c>
    </row>
    <row r="19" spans="2:17" ht="30" customHeight="1" x14ac:dyDescent="0.25">
      <c r="B19" s="121" t="s">
        <v>202</v>
      </c>
      <c r="C19" s="122">
        <v>17.399999999999999</v>
      </c>
      <c r="D19" s="123"/>
      <c r="E19" s="14"/>
    </row>
    <row r="21" spans="2:17" x14ac:dyDescent="0.2">
      <c r="B21" s="9" t="s">
        <v>203</v>
      </c>
    </row>
    <row r="23" spans="2:17" x14ac:dyDescent="0.2">
      <c r="B23" s="1" t="str">
        <f>HYPERLINK("#'Contents'!A1", "Return to Contents Page")</f>
        <v>Return to Contents Page</v>
      </c>
    </row>
    <row r="26" spans="2:17" ht="15" x14ac:dyDescent="0.25">
      <c r="B26" s="6" t="s">
        <v>75</v>
      </c>
    </row>
    <row r="27" spans="2:17" ht="30" customHeight="1" x14ac:dyDescent="0.25">
      <c r="B27" s="222" t="s">
        <v>411</v>
      </c>
      <c r="C27" s="223"/>
      <c r="D27" s="223"/>
      <c r="E27" s="223"/>
      <c r="F27" s="223"/>
      <c r="G27" s="223"/>
      <c r="I27" s="222" t="s">
        <v>412</v>
      </c>
      <c r="J27" s="223"/>
      <c r="K27" s="223"/>
      <c r="L27" s="223"/>
      <c r="M27" s="223"/>
      <c r="N27" s="223"/>
      <c r="O27" s="223"/>
      <c r="P27" s="223"/>
      <c r="Q27" s="223"/>
    </row>
    <row r="28" spans="2:17" ht="15" x14ac:dyDescent="0.25">
      <c r="B28" s="6" t="s">
        <v>196</v>
      </c>
    </row>
    <row r="30" spans="2:17" ht="45" customHeight="1" thickBot="1" x14ac:dyDescent="0.3">
      <c r="B30" s="110" t="s">
        <v>197</v>
      </c>
      <c r="C30" s="111" t="s">
        <v>198</v>
      </c>
      <c r="D30" s="111" t="s">
        <v>199</v>
      </c>
      <c r="E30" s="111" t="s">
        <v>206</v>
      </c>
    </row>
    <row r="31" spans="2:17" ht="15" thickTop="1" x14ac:dyDescent="0.2">
      <c r="B31" s="124" t="s">
        <v>207</v>
      </c>
      <c r="C31" s="113">
        <v>17.399999999999999</v>
      </c>
      <c r="D31" s="118"/>
      <c r="E31" s="118"/>
    </row>
    <row r="32" spans="2:17" x14ac:dyDescent="0.2">
      <c r="B32" s="125" t="s">
        <v>208</v>
      </c>
      <c r="C32" s="115">
        <v>15.4</v>
      </c>
      <c r="D32" s="119">
        <v>-0.114942528735632</v>
      </c>
      <c r="E32" s="119">
        <v>-0.114942528735632</v>
      </c>
    </row>
    <row r="33" spans="2:8" x14ac:dyDescent="0.2">
      <c r="B33" s="126" t="s">
        <v>209</v>
      </c>
      <c r="C33" s="117">
        <v>13.8</v>
      </c>
      <c r="D33" s="120">
        <v>-0.20689655172413801</v>
      </c>
      <c r="E33" s="120">
        <v>-0.103896103896104</v>
      </c>
    </row>
    <row r="34" spans="2:8" x14ac:dyDescent="0.2">
      <c r="B34" s="125" t="s">
        <v>210</v>
      </c>
      <c r="C34" s="115">
        <v>10.6</v>
      </c>
      <c r="D34" s="119">
        <v>-0.390804597701149</v>
      </c>
      <c r="E34" s="119">
        <v>-0.231884057971015</v>
      </c>
    </row>
    <row r="35" spans="2:8" x14ac:dyDescent="0.2">
      <c r="B35" s="126" t="s">
        <v>211</v>
      </c>
      <c r="C35" s="117">
        <v>10</v>
      </c>
      <c r="D35" s="120">
        <v>-0.42528735632183901</v>
      </c>
      <c r="E35" s="120">
        <v>-5.6603773584905599E-2</v>
      </c>
    </row>
    <row r="36" spans="2:8" x14ac:dyDescent="0.2">
      <c r="B36" s="125" t="s">
        <v>212</v>
      </c>
      <c r="C36" s="115">
        <v>9.4</v>
      </c>
      <c r="D36" s="119">
        <v>-0.45977011494252901</v>
      </c>
      <c r="E36" s="119">
        <v>-0.06</v>
      </c>
    </row>
    <row r="37" spans="2:8" x14ac:dyDescent="0.2">
      <c r="B37" s="126" t="s">
        <v>213</v>
      </c>
      <c r="C37" s="117">
        <v>10.199999999999999</v>
      </c>
      <c r="D37" s="120">
        <v>-0.41379310344827602</v>
      </c>
      <c r="E37" s="120" t="s">
        <v>301</v>
      </c>
    </row>
    <row r="38" spans="2:8" ht="30" x14ac:dyDescent="0.25">
      <c r="B38" s="121" t="s">
        <v>214</v>
      </c>
      <c r="C38" s="122">
        <v>17.399999999999999</v>
      </c>
      <c r="D38" s="123"/>
      <c r="E38" s="14"/>
    </row>
    <row r="39" spans="2:8" x14ac:dyDescent="0.2">
      <c r="C39" s="7"/>
      <c r="D39" s="8"/>
      <c r="E39" s="8"/>
    </row>
    <row r="40" spans="2:8" x14ac:dyDescent="0.2">
      <c r="B40" s="9" t="s">
        <v>203</v>
      </c>
      <c r="C40" s="7"/>
      <c r="D40" s="8"/>
      <c r="E40" s="8"/>
    </row>
    <row r="41" spans="2:8" x14ac:dyDescent="0.2">
      <c r="C41" s="7"/>
      <c r="D41" s="8"/>
      <c r="E41" s="8"/>
    </row>
    <row r="42" spans="2:8" x14ac:dyDescent="0.2">
      <c r="C42" s="7"/>
      <c r="D42" s="8"/>
      <c r="E42" s="8"/>
    </row>
    <row r="43" spans="2:8" x14ac:dyDescent="0.2">
      <c r="C43" s="7"/>
      <c r="D43" s="8"/>
      <c r="E43" s="8"/>
    </row>
    <row r="44" spans="2:8" x14ac:dyDescent="0.2">
      <c r="B44" s="230" t="s">
        <v>413</v>
      </c>
      <c r="C44" s="227"/>
      <c r="D44" s="229"/>
      <c r="E44" s="229"/>
      <c r="F44" s="223"/>
      <c r="G44" s="223"/>
      <c r="H44" s="223"/>
    </row>
    <row r="45" spans="2:8" x14ac:dyDescent="0.2">
      <c r="B45" s="223"/>
      <c r="C45" s="227"/>
      <c r="D45" s="229"/>
      <c r="E45" s="229"/>
      <c r="F45" s="223"/>
      <c r="G45" s="223"/>
      <c r="H45" s="223"/>
    </row>
    <row r="46" spans="2:8" x14ac:dyDescent="0.2">
      <c r="B46" s="223"/>
      <c r="C46" s="227"/>
      <c r="D46" s="229"/>
      <c r="E46" s="229"/>
      <c r="F46" s="223"/>
      <c r="G46" s="223"/>
      <c r="H46" s="223"/>
    </row>
    <row r="47" spans="2:8" x14ac:dyDescent="0.2">
      <c r="B47" s="223"/>
      <c r="C47" s="227"/>
      <c r="D47" s="229"/>
      <c r="E47" s="229"/>
      <c r="F47" s="223"/>
      <c r="G47" s="223"/>
      <c r="H47" s="223"/>
    </row>
    <row r="48" spans="2:8" x14ac:dyDescent="0.2">
      <c r="B48" s="223"/>
      <c r="C48" s="227"/>
      <c r="D48" s="229"/>
      <c r="E48" s="229"/>
      <c r="F48" s="223"/>
      <c r="G48" s="223"/>
      <c r="H48" s="223"/>
    </row>
    <row r="49" spans="3:5" x14ac:dyDescent="0.2">
      <c r="C49" s="7"/>
      <c r="D49" s="8"/>
      <c r="E49" s="8"/>
    </row>
    <row r="50" spans="3:5" x14ac:dyDescent="0.2">
      <c r="C50" s="7"/>
      <c r="D50" s="8"/>
      <c r="E50" s="8"/>
    </row>
  </sheetData>
  <mergeCells count="3">
    <mergeCell ref="B27:G27"/>
    <mergeCell ref="I27:Q27"/>
    <mergeCell ref="B44:H48"/>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96"/>
  <sheetViews>
    <sheetView showGridLines="0" workbookViewId="0"/>
  </sheetViews>
  <sheetFormatPr defaultColWidth="11" defaultRowHeight="14.25" x14ac:dyDescent="0.2"/>
  <cols>
    <col min="1" max="1" width="19.25" customWidth="1"/>
    <col min="3" max="3" width="183" customWidth="1"/>
  </cols>
  <sheetData>
    <row r="2" spans="1:3" ht="15" x14ac:dyDescent="0.25">
      <c r="A2" s="2" t="s">
        <v>0</v>
      </c>
      <c r="B2" s="2" t="s">
        <v>1</v>
      </c>
      <c r="C2" s="2" t="s">
        <v>2</v>
      </c>
    </row>
    <row r="3" spans="1:3" ht="15" x14ac:dyDescent="0.25">
      <c r="B3" s="3" t="s">
        <v>3</v>
      </c>
    </row>
    <row r="4" spans="1:3" x14ac:dyDescent="0.2">
      <c r="A4" s="1" t="str">
        <f>HYPERLINK("#'Table A'!A1", "Go To Table A")</f>
        <v>Go To Table A</v>
      </c>
      <c r="B4" t="s">
        <v>4</v>
      </c>
      <c r="C4" t="s">
        <v>5</v>
      </c>
    </row>
    <row r="5" spans="1:3" x14ac:dyDescent="0.2">
      <c r="A5" s="5" t="str">
        <f>HYPERLINK("#'Table 1'!A1", "Go To Table 1")</f>
        <v>Go To Table 1</v>
      </c>
      <c r="B5" s="4" t="s">
        <v>6</v>
      </c>
      <c r="C5" s="4" t="s">
        <v>7</v>
      </c>
    </row>
    <row r="6" spans="1:3" x14ac:dyDescent="0.2">
      <c r="A6" s="1" t="str">
        <f>HYPERLINK("#'Table 2'!A1", "Go To Table 2")</f>
        <v>Go To Table 2</v>
      </c>
      <c r="B6" t="s">
        <v>8</v>
      </c>
      <c r="C6" t="s">
        <v>9</v>
      </c>
    </row>
    <row r="7" spans="1:3" x14ac:dyDescent="0.2">
      <c r="A7" s="5" t="str">
        <f>HYPERLINK("#'Table 3'!A1", "Go To Table 3")</f>
        <v>Go To Table 3</v>
      </c>
      <c r="B7" s="4" t="s">
        <v>10</v>
      </c>
      <c r="C7" s="4" t="s">
        <v>11</v>
      </c>
    </row>
    <row r="8" spans="1:3" x14ac:dyDescent="0.2">
      <c r="A8" s="1" t="str">
        <f>HYPERLINK("#'Table 4'!A1", "Go To Table 4")</f>
        <v>Go To Table 4</v>
      </c>
      <c r="B8" t="s">
        <v>12</v>
      </c>
      <c r="C8" t="s">
        <v>13</v>
      </c>
    </row>
    <row r="10" spans="1:3" ht="15" x14ac:dyDescent="0.25">
      <c r="B10" s="3" t="s">
        <v>14</v>
      </c>
    </row>
    <row r="11" spans="1:3" x14ac:dyDescent="0.2">
      <c r="A11" s="1" t="str">
        <f>HYPERLINK("#'Table B'!A1", "Go To Table B")</f>
        <v>Go To Table B</v>
      </c>
      <c r="B11" t="s">
        <v>15</v>
      </c>
      <c r="C11" t="s">
        <v>16</v>
      </c>
    </row>
    <row r="12" spans="1:3" x14ac:dyDescent="0.2">
      <c r="A12" s="5" t="str">
        <f>HYPERLINK("#'Table 5'!A1", "Go To Table 5")</f>
        <v>Go To Table 5</v>
      </c>
      <c r="B12" s="4" t="s">
        <v>17</v>
      </c>
      <c r="C12" s="4" t="s">
        <v>18</v>
      </c>
    </row>
    <row r="13" spans="1:3" x14ac:dyDescent="0.2">
      <c r="A13" s="1" t="str">
        <f>HYPERLINK("#'Table 5'!A28", "Go To Table 5a")</f>
        <v>Go To Table 5a</v>
      </c>
      <c r="B13" t="s">
        <v>19</v>
      </c>
      <c r="C13" t="s">
        <v>20</v>
      </c>
    </row>
    <row r="14" spans="1:3" x14ac:dyDescent="0.2">
      <c r="A14" s="1" t="str">
        <f>HYPERLINK("#'Table 5'!A49", "Go To Table 5b")</f>
        <v>Go To Table 5b</v>
      </c>
      <c r="B14" t="s">
        <v>21</v>
      </c>
      <c r="C14" t="s">
        <v>22</v>
      </c>
    </row>
    <row r="15" spans="1:3" x14ac:dyDescent="0.2">
      <c r="A15" s="5" t="str">
        <f>HYPERLINK("#'Table 6'!A1", "Go To Table 6")</f>
        <v>Go To Table 6</v>
      </c>
      <c r="B15" s="4" t="s">
        <v>23</v>
      </c>
      <c r="C15" s="4" t="s">
        <v>24</v>
      </c>
    </row>
    <row r="16" spans="1:3" x14ac:dyDescent="0.2">
      <c r="A16" s="1" t="str">
        <f>HYPERLINK("#'Table 6'!A28", "Go To Table 6a")</f>
        <v>Go To Table 6a</v>
      </c>
      <c r="B16" t="s">
        <v>25</v>
      </c>
      <c r="C16" t="s">
        <v>26</v>
      </c>
    </row>
    <row r="17" spans="1:3" x14ac:dyDescent="0.2">
      <c r="A17" s="5" t="str">
        <f>HYPERLINK("#'Table 7'!A1", "Go To Table 7")</f>
        <v>Go To Table 7</v>
      </c>
      <c r="B17" s="4" t="s">
        <v>27</v>
      </c>
      <c r="C17" s="4" t="s">
        <v>28</v>
      </c>
    </row>
    <row r="18" spans="1:3" x14ac:dyDescent="0.2">
      <c r="A18" s="1" t="str">
        <f>HYPERLINK("#'Table 7'!A28", "Go To Table 7a")</f>
        <v>Go To Table 7a</v>
      </c>
      <c r="B18" t="s">
        <v>29</v>
      </c>
      <c r="C18" t="s">
        <v>30</v>
      </c>
    </row>
    <row r="19" spans="1:3" x14ac:dyDescent="0.2">
      <c r="A19" s="1" t="str">
        <f>HYPERLINK("#'Table 7'!A49", "Go To Table 7b")</f>
        <v>Go To Table 7b</v>
      </c>
      <c r="B19" t="s">
        <v>31</v>
      </c>
      <c r="C19" t="s">
        <v>32</v>
      </c>
    </row>
    <row r="20" spans="1:3" x14ac:dyDescent="0.2">
      <c r="A20" s="5" t="str">
        <f>HYPERLINK("#'Table 8'!A1", "Go To Table 8")</f>
        <v>Go To Table 8</v>
      </c>
      <c r="B20" s="4" t="s">
        <v>33</v>
      </c>
      <c r="C20" s="4" t="s">
        <v>34</v>
      </c>
    </row>
    <row r="21" spans="1:3" x14ac:dyDescent="0.2">
      <c r="A21" s="1" t="str">
        <f>HYPERLINK("#'Table 8'!A28", "Go To Table 8a")</f>
        <v>Go To Table 8a</v>
      </c>
      <c r="B21" t="s">
        <v>35</v>
      </c>
      <c r="C21" t="s">
        <v>36</v>
      </c>
    </row>
    <row r="22" spans="1:3" x14ac:dyDescent="0.2">
      <c r="A22" s="1" t="str">
        <f>HYPERLINK("#'Table 8'!A49", "Go To Table 8b")</f>
        <v>Go To Table 8b</v>
      </c>
      <c r="B22" t="s">
        <v>37</v>
      </c>
      <c r="C22" t="s">
        <v>38</v>
      </c>
    </row>
    <row r="23" spans="1:3" x14ac:dyDescent="0.2">
      <c r="A23" s="1" t="str">
        <f>HYPERLINK("#'Table 8'!A73", "Go To Table 8c")</f>
        <v>Go To Table 8c</v>
      </c>
      <c r="B23" t="s">
        <v>39</v>
      </c>
      <c r="C23" t="s">
        <v>40</v>
      </c>
    </row>
    <row r="24" spans="1:3" x14ac:dyDescent="0.2">
      <c r="A24" s="5" t="str">
        <f>HYPERLINK("#'Table 9'!A1", "Go To Table 9")</f>
        <v>Go To Table 9</v>
      </c>
      <c r="B24" s="4" t="s">
        <v>41</v>
      </c>
      <c r="C24" s="4" t="s">
        <v>42</v>
      </c>
    </row>
    <row r="25" spans="1:3" x14ac:dyDescent="0.2">
      <c r="A25" s="1" t="str">
        <f>HYPERLINK("#'Table 9'!A28", "Go To Table 9a")</f>
        <v>Go To Table 9a</v>
      </c>
      <c r="B25" t="s">
        <v>43</v>
      </c>
      <c r="C25" t="s">
        <v>44</v>
      </c>
    </row>
    <row r="26" spans="1:3" x14ac:dyDescent="0.2">
      <c r="A26" s="1" t="str">
        <f>HYPERLINK("#'Table 9'!A49", "Go To Table 9b")</f>
        <v>Go To Table 9b</v>
      </c>
      <c r="B26" t="s">
        <v>45</v>
      </c>
      <c r="C26" t="s">
        <v>46</v>
      </c>
    </row>
    <row r="27" spans="1:3" x14ac:dyDescent="0.2">
      <c r="A27" s="1" t="str">
        <f>HYPERLINK("#'Table 9'!A73", "Go To Table 9c")</f>
        <v>Go To Table 9c</v>
      </c>
      <c r="B27" t="s">
        <v>47</v>
      </c>
      <c r="C27" t="s">
        <v>48</v>
      </c>
    </row>
    <row r="28" spans="1:3" x14ac:dyDescent="0.2">
      <c r="A28" s="5" t="str">
        <f>HYPERLINK("#'Table 10'!A1", "Go To Table 10")</f>
        <v>Go To Table 10</v>
      </c>
      <c r="B28" s="4" t="s">
        <v>49</v>
      </c>
      <c r="C28" s="4" t="s">
        <v>50</v>
      </c>
    </row>
    <row r="29" spans="1:3" x14ac:dyDescent="0.2">
      <c r="A29" s="1" t="str">
        <f>HYPERLINK("#'Table 10'!A28", "Go To Table 10a")</f>
        <v>Go To Table 10a</v>
      </c>
      <c r="B29" t="s">
        <v>51</v>
      </c>
      <c r="C29" t="s">
        <v>52</v>
      </c>
    </row>
    <row r="30" spans="1:3" x14ac:dyDescent="0.2">
      <c r="A30" s="1" t="str">
        <f>HYPERLINK("#'Table 10'!A49", "Go To Table 10b")</f>
        <v>Go To Table 10b</v>
      </c>
      <c r="B30" t="s">
        <v>53</v>
      </c>
      <c r="C30" t="s">
        <v>54</v>
      </c>
    </row>
    <row r="31" spans="1:3" x14ac:dyDescent="0.2">
      <c r="A31" s="5" t="str">
        <f>HYPERLINK("#'Table 11'!A1", "Go To Table 11")</f>
        <v>Go To Table 11</v>
      </c>
      <c r="B31" s="4" t="s">
        <v>55</v>
      </c>
      <c r="C31" s="4" t="s">
        <v>56</v>
      </c>
    </row>
    <row r="32" spans="1:3" x14ac:dyDescent="0.2">
      <c r="A32" s="1" t="str">
        <f>HYPERLINK("#'Table 11'!A28", "Go To Table 11a")</f>
        <v>Go To Table 11a</v>
      </c>
      <c r="B32" t="s">
        <v>57</v>
      </c>
      <c r="C32" t="s">
        <v>58</v>
      </c>
    </row>
    <row r="33" spans="1:3" x14ac:dyDescent="0.2">
      <c r="A33" s="1" t="str">
        <f>HYPERLINK("#'Table 11'!A49", "Go To Table 11b")</f>
        <v>Go To Table 11b</v>
      </c>
      <c r="B33" t="s">
        <v>59</v>
      </c>
      <c r="C33" t="s">
        <v>60</v>
      </c>
    </row>
    <row r="34" spans="1:3" x14ac:dyDescent="0.2">
      <c r="A34" s="5" t="str">
        <f>HYPERLINK("#'Table 12'!A1", "Go To Table 12")</f>
        <v>Go To Table 12</v>
      </c>
      <c r="B34" s="4" t="s">
        <v>61</v>
      </c>
      <c r="C34" s="4" t="s">
        <v>62</v>
      </c>
    </row>
    <row r="35" spans="1:3" x14ac:dyDescent="0.2">
      <c r="A35" s="1" t="str">
        <f>HYPERLINK("#'Table 12'!A28", "Go To Table 12a")</f>
        <v>Go To Table 12a</v>
      </c>
      <c r="B35" t="s">
        <v>63</v>
      </c>
      <c r="C35" t="s">
        <v>64</v>
      </c>
    </row>
    <row r="36" spans="1:3" x14ac:dyDescent="0.2">
      <c r="A36" s="5" t="str">
        <f>HYPERLINK("#'Table 13'!A1", "Go To Table 13")</f>
        <v>Go To Table 13</v>
      </c>
      <c r="B36" s="4" t="s">
        <v>65</v>
      </c>
      <c r="C36" s="4" t="s">
        <v>66</v>
      </c>
    </row>
    <row r="37" spans="1:3" x14ac:dyDescent="0.2">
      <c r="A37" s="1" t="str">
        <f>HYPERLINK("#'Table 13'!A28", "Go To Table 13a")</f>
        <v>Go To Table 13a</v>
      </c>
      <c r="B37" t="s">
        <v>67</v>
      </c>
      <c r="C37" t="s">
        <v>68</v>
      </c>
    </row>
    <row r="38" spans="1:3" x14ac:dyDescent="0.2">
      <c r="A38" s="5" t="str">
        <f>HYPERLINK("#'Table 14'!A1", "Go To Table 14")</f>
        <v>Go To Table 14</v>
      </c>
      <c r="B38" s="4" t="s">
        <v>69</v>
      </c>
      <c r="C38" s="4" t="s">
        <v>70</v>
      </c>
    </row>
    <row r="39" spans="1:3" x14ac:dyDescent="0.2">
      <c r="A39" s="1" t="str">
        <f>HYPERLINK("#'Table 14'!A28", "Go To Table 14a")</f>
        <v>Go To Table 14a</v>
      </c>
      <c r="B39" t="s">
        <v>71</v>
      </c>
      <c r="C39" t="s">
        <v>72</v>
      </c>
    </row>
    <row r="40" spans="1:3" x14ac:dyDescent="0.2">
      <c r="A40" s="5" t="str">
        <f>HYPERLINK("#'Table 15'!A1", "Go To Table 15")</f>
        <v>Go To Table 15</v>
      </c>
      <c r="B40" s="4" t="s">
        <v>73</v>
      </c>
      <c r="C40" s="4" t="s">
        <v>74</v>
      </c>
    </row>
    <row r="41" spans="1:3" x14ac:dyDescent="0.2">
      <c r="A41" s="1" t="str">
        <f>HYPERLINK("#'Table 15'!A28", "Go To Table 15a")</f>
        <v>Go To Table 15a</v>
      </c>
      <c r="B41" t="s">
        <v>75</v>
      </c>
      <c r="C41" t="s">
        <v>76</v>
      </c>
    </row>
    <row r="42" spans="1:3" x14ac:dyDescent="0.2">
      <c r="A42" s="5" t="str">
        <f>HYPERLINK("#'Table 16'!A1", "Go To Table 16")</f>
        <v>Go To Table 16</v>
      </c>
      <c r="B42" s="4" t="s">
        <v>77</v>
      </c>
      <c r="C42" s="4" t="s">
        <v>78</v>
      </c>
    </row>
    <row r="43" spans="1:3" x14ac:dyDescent="0.2">
      <c r="A43" s="1" t="str">
        <f>HYPERLINK("#'Table 16'!A28", "Go To Table 16a")</f>
        <v>Go To Table 16a</v>
      </c>
      <c r="B43" t="s">
        <v>79</v>
      </c>
      <c r="C43" t="s">
        <v>80</v>
      </c>
    </row>
    <row r="44" spans="1:3" x14ac:dyDescent="0.2">
      <c r="A44" s="5" t="str">
        <f>HYPERLINK("#'Table 17'!A1", "Go To Table 17")</f>
        <v>Go To Table 17</v>
      </c>
      <c r="B44" s="4" t="s">
        <v>81</v>
      </c>
      <c r="C44" s="4" t="s">
        <v>82</v>
      </c>
    </row>
    <row r="45" spans="1:3" x14ac:dyDescent="0.2">
      <c r="A45" s="1" t="str">
        <f>HYPERLINK("#'Table 17'!A51", "Go To Table 17a")</f>
        <v>Go To Table 17a</v>
      </c>
      <c r="B45" t="s">
        <v>83</v>
      </c>
      <c r="C45" t="s">
        <v>84</v>
      </c>
    </row>
    <row r="46" spans="1:3" x14ac:dyDescent="0.2">
      <c r="A46" s="5" t="str">
        <f>HYPERLINK("#'Table 18'!A1", "Go To Table 18")</f>
        <v>Go To Table 18</v>
      </c>
      <c r="B46" s="4" t="s">
        <v>85</v>
      </c>
      <c r="C46" s="4" t="s">
        <v>86</v>
      </c>
    </row>
    <row r="47" spans="1:3" x14ac:dyDescent="0.2">
      <c r="A47" s="1" t="str">
        <f>HYPERLINK("#'Table 18'!A51", "Go To Table 18a")</f>
        <v>Go To Table 18a</v>
      </c>
      <c r="B47" t="s">
        <v>87</v>
      </c>
      <c r="C47" t="s">
        <v>88</v>
      </c>
    </row>
    <row r="48" spans="1:3" x14ac:dyDescent="0.2">
      <c r="A48" s="5" t="str">
        <f>HYPERLINK("#'Table 19'!A1", "Go To Table 19")</f>
        <v>Go To Table 19</v>
      </c>
      <c r="B48" s="4" t="s">
        <v>89</v>
      </c>
      <c r="C48" s="4" t="s">
        <v>90</v>
      </c>
    </row>
    <row r="49" spans="1:3" x14ac:dyDescent="0.2">
      <c r="A49" s="1" t="str">
        <f>HYPERLINK("#'Table 19'!A51", "Go To Table 19a")</f>
        <v>Go To Table 19a</v>
      </c>
      <c r="B49" t="s">
        <v>91</v>
      </c>
      <c r="C49" t="s">
        <v>92</v>
      </c>
    </row>
    <row r="50" spans="1:3" x14ac:dyDescent="0.2">
      <c r="A50" s="5" t="str">
        <f>HYPERLINK("#'Table 20'!A1", "Go To Table 20")</f>
        <v>Go To Table 20</v>
      </c>
      <c r="B50" s="4" t="s">
        <v>93</v>
      </c>
      <c r="C50" s="4" t="s">
        <v>94</v>
      </c>
    </row>
    <row r="51" spans="1:3" x14ac:dyDescent="0.2">
      <c r="A51" s="1" t="str">
        <f>HYPERLINK("#'Table 20'!A51", "Go To Table 20a")</f>
        <v>Go To Table 20a</v>
      </c>
      <c r="B51" t="s">
        <v>95</v>
      </c>
      <c r="C51" t="s">
        <v>96</v>
      </c>
    </row>
    <row r="52" spans="1:3" x14ac:dyDescent="0.2">
      <c r="A52" s="5" t="str">
        <f>HYPERLINK("#'Table 21'!A1", "Go To Table 21")</f>
        <v>Go To Table 21</v>
      </c>
      <c r="B52" s="4" t="s">
        <v>97</v>
      </c>
      <c r="C52" s="4" t="s">
        <v>98</v>
      </c>
    </row>
    <row r="53" spans="1:3" x14ac:dyDescent="0.2">
      <c r="A53" s="1" t="str">
        <f>HYPERLINK("#'Table 21'!A28", "Go To Table 21a")</f>
        <v>Go To Table 21a</v>
      </c>
      <c r="B53" t="s">
        <v>99</v>
      </c>
      <c r="C53" t="s">
        <v>100</v>
      </c>
    </row>
    <row r="54" spans="1:3" x14ac:dyDescent="0.2">
      <c r="A54" s="5" t="str">
        <f>HYPERLINK("#'Table 22'!A1", "Go To Table 22")</f>
        <v>Go To Table 22</v>
      </c>
      <c r="B54" s="4" t="s">
        <v>101</v>
      </c>
      <c r="C54" s="4" t="s">
        <v>102</v>
      </c>
    </row>
    <row r="55" spans="1:3" x14ac:dyDescent="0.2">
      <c r="A55" s="1" t="str">
        <f>HYPERLINK("#'Table 22'!A1", "Go To Table 22a")</f>
        <v>Go To Table 22a</v>
      </c>
      <c r="B55" t="s">
        <v>103</v>
      </c>
      <c r="C55" t="s">
        <v>104</v>
      </c>
    </row>
    <row r="56" spans="1:3" x14ac:dyDescent="0.2">
      <c r="A56" s="1" t="str">
        <f>HYPERLINK("#'Table 22'!A1", "Go To Table 22b")</f>
        <v>Go To Table 22b</v>
      </c>
      <c r="B56" t="s">
        <v>105</v>
      </c>
      <c r="C56" t="s">
        <v>106</v>
      </c>
    </row>
    <row r="57" spans="1:3" x14ac:dyDescent="0.2">
      <c r="A57" s="1" t="str">
        <f>HYPERLINK("#'Table 22'!A1", "Go To Table 22c")</f>
        <v>Go To Table 22c</v>
      </c>
      <c r="B57" t="s">
        <v>107</v>
      </c>
      <c r="C57" t="s">
        <v>108</v>
      </c>
    </row>
    <row r="58" spans="1:3" x14ac:dyDescent="0.2">
      <c r="A58" s="1" t="str">
        <f>HYPERLINK("#'Table 22'!A1", "Go To Table 22d")</f>
        <v>Go To Table 22d</v>
      </c>
      <c r="B58" t="s">
        <v>109</v>
      </c>
      <c r="C58" t="s">
        <v>110</v>
      </c>
    </row>
    <row r="59" spans="1:3" x14ac:dyDescent="0.2">
      <c r="A59" s="1" t="str">
        <f>HYPERLINK("#'Table 22'!A1", "Go To Table 22e")</f>
        <v>Go To Table 22e</v>
      </c>
      <c r="B59" t="s">
        <v>111</v>
      </c>
      <c r="C59" t="s">
        <v>112</v>
      </c>
    </row>
    <row r="60" spans="1:3" x14ac:dyDescent="0.2">
      <c r="A60" s="1" t="str">
        <f>HYPERLINK("#'Table 22'!A1", "Go To Table 22f")</f>
        <v>Go To Table 22f</v>
      </c>
      <c r="B60" t="s">
        <v>113</v>
      </c>
      <c r="C60" t="s">
        <v>114</v>
      </c>
    </row>
    <row r="61" spans="1:3" x14ac:dyDescent="0.2">
      <c r="A61" s="5" t="str">
        <f>HYPERLINK("#'Table 23'!A1", "Go To Table 23")</f>
        <v>Go To Table 23</v>
      </c>
      <c r="B61" s="4" t="s">
        <v>115</v>
      </c>
      <c r="C61" s="4" t="s">
        <v>116</v>
      </c>
    </row>
    <row r="62" spans="1:3" x14ac:dyDescent="0.2">
      <c r="A62" s="1" t="str">
        <f>HYPERLINK("#'Table 23'!A1", "Go To Table 23a")</f>
        <v>Go To Table 23a</v>
      </c>
      <c r="B62" t="s">
        <v>117</v>
      </c>
      <c r="C62" t="s">
        <v>118</v>
      </c>
    </row>
    <row r="63" spans="1:3" x14ac:dyDescent="0.2">
      <c r="A63" s="1" t="str">
        <f>HYPERLINK("#'Table 23'!A1", "Go To Table 23b")</f>
        <v>Go To Table 23b</v>
      </c>
      <c r="B63" t="s">
        <v>119</v>
      </c>
      <c r="C63" t="s">
        <v>120</v>
      </c>
    </row>
    <row r="64" spans="1:3" x14ac:dyDescent="0.2">
      <c r="A64" s="1" t="str">
        <f>HYPERLINK("#'Table 23'!A1", "Go To Table 23c")</f>
        <v>Go To Table 23c</v>
      </c>
      <c r="B64" t="s">
        <v>121</v>
      </c>
      <c r="C64" t="s">
        <v>122</v>
      </c>
    </row>
    <row r="65" spans="1:3" x14ac:dyDescent="0.2">
      <c r="A65" s="1" t="str">
        <f>HYPERLINK("#'Table 23'!A1", "Go To Table 23d")</f>
        <v>Go To Table 23d</v>
      </c>
      <c r="B65" t="s">
        <v>123</v>
      </c>
      <c r="C65" t="s">
        <v>124</v>
      </c>
    </row>
    <row r="66" spans="1:3" x14ac:dyDescent="0.2">
      <c r="A66" s="5" t="str">
        <f>HYPERLINK("#'Table 24'!A1", "Go To Table 24")</f>
        <v>Go To Table 24</v>
      </c>
      <c r="B66" s="4" t="s">
        <v>125</v>
      </c>
      <c r="C66" s="4" t="s">
        <v>126</v>
      </c>
    </row>
    <row r="67" spans="1:3" x14ac:dyDescent="0.2">
      <c r="A67" s="1" t="str">
        <f>HYPERLINK("#'Table 24'!A1", "Go To Table 24a")</f>
        <v>Go To Table 24a</v>
      </c>
      <c r="B67" t="s">
        <v>127</v>
      </c>
      <c r="C67" t="s">
        <v>128</v>
      </c>
    </row>
    <row r="68" spans="1:3" x14ac:dyDescent="0.2">
      <c r="A68" s="5" t="str">
        <f>HYPERLINK("#'Table 25'!A1", "Go To Table 25")</f>
        <v>Go To Table 25</v>
      </c>
      <c r="B68" s="4" t="s">
        <v>129</v>
      </c>
      <c r="C68" s="4" t="s">
        <v>130</v>
      </c>
    </row>
    <row r="69" spans="1:3" x14ac:dyDescent="0.2">
      <c r="A69" s="1" t="str">
        <f>HYPERLINK("#'Table 25'!A1", "Go To Table 25a")</f>
        <v>Go To Table 25a</v>
      </c>
      <c r="B69" t="s">
        <v>131</v>
      </c>
      <c r="C69" t="s">
        <v>132</v>
      </c>
    </row>
    <row r="70" spans="1:3" x14ac:dyDescent="0.2">
      <c r="A70" s="5" t="str">
        <f>HYPERLINK("#'Table 26'!A1", "Go To Table 26")</f>
        <v>Go To Table 26</v>
      </c>
      <c r="B70" s="4" t="s">
        <v>133</v>
      </c>
      <c r="C70" s="4" t="s">
        <v>134</v>
      </c>
    </row>
    <row r="71" spans="1:3" x14ac:dyDescent="0.2">
      <c r="A71" s="1" t="str">
        <f>HYPERLINK("#'Table 26'!A24", "Go To Table 26a")</f>
        <v>Go To Table 26a</v>
      </c>
      <c r="B71" t="s">
        <v>135</v>
      </c>
      <c r="C71" t="s">
        <v>136</v>
      </c>
    </row>
    <row r="72" spans="1:3" x14ac:dyDescent="0.2">
      <c r="A72" s="5" t="str">
        <f>HYPERLINK("#'Table 27'!A1", "Go To Table 27")</f>
        <v>Go To Table 27</v>
      </c>
      <c r="B72" s="4" t="s">
        <v>137</v>
      </c>
      <c r="C72" s="4" t="s">
        <v>138</v>
      </c>
    </row>
    <row r="73" spans="1:3" x14ac:dyDescent="0.2">
      <c r="A73" s="1" t="str">
        <f>HYPERLINK("#'Table 27'!A24", "Go To Table 27a")</f>
        <v>Go To Table 27a</v>
      </c>
      <c r="B73" t="s">
        <v>139</v>
      </c>
      <c r="C73" t="s">
        <v>140</v>
      </c>
    </row>
    <row r="74" spans="1:3" x14ac:dyDescent="0.2">
      <c r="A74" s="5" t="str">
        <f>HYPERLINK("#'Table 28'!A1", "Go To Table 28")</f>
        <v>Go To Table 28</v>
      </c>
      <c r="B74" s="4" t="s">
        <v>141</v>
      </c>
      <c r="C74" s="4" t="s">
        <v>142</v>
      </c>
    </row>
    <row r="75" spans="1:3" x14ac:dyDescent="0.2">
      <c r="A75" s="1" t="str">
        <f>HYPERLINK("#'Table 28'!A24", "Go To Table 28a")</f>
        <v>Go To Table 28a</v>
      </c>
      <c r="B75" t="s">
        <v>143</v>
      </c>
      <c r="C75" t="s">
        <v>144</v>
      </c>
    </row>
    <row r="76" spans="1:3" x14ac:dyDescent="0.2">
      <c r="A76" s="5" t="str">
        <f>HYPERLINK("#'Table 29'!A1", "Go To Table 29")</f>
        <v>Go To Table 29</v>
      </c>
      <c r="B76" s="4" t="s">
        <v>145</v>
      </c>
      <c r="C76" s="4" t="s">
        <v>146</v>
      </c>
    </row>
    <row r="77" spans="1:3" x14ac:dyDescent="0.2">
      <c r="A77" s="1" t="str">
        <f>HYPERLINK("#'Table 29'!A24", "Go To Table 29a")</f>
        <v>Go To Table 29a</v>
      </c>
      <c r="B77" t="s">
        <v>147</v>
      </c>
      <c r="C77" t="s">
        <v>148</v>
      </c>
    </row>
    <row r="78" spans="1:3" x14ac:dyDescent="0.2">
      <c r="A78" s="5" t="str">
        <f>HYPERLINK("#'Table 30'!A1", "Go To Table 30")</f>
        <v>Go To Table 30</v>
      </c>
      <c r="B78" s="4" t="s">
        <v>149</v>
      </c>
      <c r="C78" s="4" t="s">
        <v>150</v>
      </c>
    </row>
    <row r="79" spans="1:3" x14ac:dyDescent="0.2">
      <c r="A79" s="1" t="str">
        <f>HYPERLINK("#'Table 30'!A24", "Go To Table 30a")</f>
        <v>Go To Table 30a</v>
      </c>
      <c r="B79" t="s">
        <v>151</v>
      </c>
      <c r="C79" t="s">
        <v>152</v>
      </c>
    </row>
    <row r="80" spans="1:3" x14ac:dyDescent="0.2">
      <c r="A80" s="5" t="str">
        <f>HYPERLINK("#'Table 31'!A1", "Go To Table 31")</f>
        <v>Go To Table 31</v>
      </c>
      <c r="B80" s="4" t="s">
        <v>153</v>
      </c>
      <c r="C80" s="4" t="s">
        <v>154</v>
      </c>
    </row>
    <row r="81" spans="1:3" x14ac:dyDescent="0.2">
      <c r="A81" s="1" t="str">
        <f>HYPERLINK("#'Table 31'!A24", "Go To Table 31a")</f>
        <v>Go To Table 31a</v>
      </c>
      <c r="B81" t="s">
        <v>155</v>
      </c>
      <c r="C81" t="s">
        <v>156</v>
      </c>
    </row>
    <row r="82" spans="1:3" x14ac:dyDescent="0.2">
      <c r="A82" s="5" t="str">
        <f>HYPERLINK("#'Table 32'!A1", "Go To Table 32")</f>
        <v>Go To Table 32</v>
      </c>
      <c r="B82" s="4" t="s">
        <v>157</v>
      </c>
      <c r="C82" s="4" t="s">
        <v>158</v>
      </c>
    </row>
    <row r="83" spans="1:3" x14ac:dyDescent="0.2">
      <c r="A83" s="1" t="str">
        <f>HYPERLINK("#'Table 32'!A24", "Go To Table 32a")</f>
        <v>Go To Table 32a</v>
      </c>
      <c r="B83" t="s">
        <v>159</v>
      </c>
      <c r="C83" t="s">
        <v>160</v>
      </c>
    </row>
    <row r="84" spans="1:3" x14ac:dyDescent="0.2">
      <c r="A84" s="5" t="str">
        <f>HYPERLINK("#'Table 33'!A1", "Go To Table 33")</f>
        <v>Go To Table 33</v>
      </c>
      <c r="B84" s="4" t="s">
        <v>161</v>
      </c>
      <c r="C84" s="4" t="s">
        <v>162</v>
      </c>
    </row>
    <row r="85" spans="1:3" x14ac:dyDescent="0.2">
      <c r="A85" s="1" t="str">
        <f>HYPERLINK("#'Table 33'!A24", "Go To Table 33a")</f>
        <v>Go To Table 33a</v>
      </c>
      <c r="B85" t="s">
        <v>163</v>
      </c>
      <c r="C85" t="s">
        <v>164</v>
      </c>
    </row>
    <row r="86" spans="1:3" x14ac:dyDescent="0.2">
      <c r="A86" s="5" t="str">
        <f>HYPERLINK("#'Table 34'!A1", "Go To Table 34")</f>
        <v>Go To Table 34</v>
      </c>
      <c r="B86" s="4" t="s">
        <v>165</v>
      </c>
      <c r="C86" s="4" t="s">
        <v>166</v>
      </c>
    </row>
    <row r="87" spans="1:3" x14ac:dyDescent="0.2">
      <c r="A87" s="1" t="str">
        <f>HYPERLINK("#'Table 34'!A24", "Go To Table 34a")</f>
        <v>Go To Table 34a</v>
      </c>
      <c r="B87" t="s">
        <v>167</v>
      </c>
      <c r="C87" t="s">
        <v>168</v>
      </c>
    </row>
    <row r="88" spans="1:3" x14ac:dyDescent="0.2">
      <c r="A88" s="5" t="str">
        <f>HYPERLINK("#'Table 35'!A1", "Go To Table 35")</f>
        <v>Go To Table 35</v>
      </c>
      <c r="B88" s="4" t="s">
        <v>169</v>
      </c>
      <c r="C88" s="4" t="s">
        <v>170</v>
      </c>
    </row>
    <row r="89" spans="1:3" x14ac:dyDescent="0.2">
      <c r="A89" s="1" t="str">
        <f>HYPERLINK("#'Table 35'!A24", "Go To Table 35a")</f>
        <v>Go To Table 35a</v>
      </c>
      <c r="B89" t="s">
        <v>171</v>
      </c>
      <c r="C89" t="s">
        <v>172</v>
      </c>
    </row>
    <row r="90" spans="1:3" x14ac:dyDescent="0.2">
      <c r="A90" s="5" t="str">
        <f>HYPERLINK("#'Table 36'!A1", "Go To Table 36")</f>
        <v>Go To Table 36</v>
      </c>
      <c r="B90" s="4" t="s">
        <v>173</v>
      </c>
      <c r="C90" s="4" t="s">
        <v>174</v>
      </c>
    </row>
    <row r="91" spans="1:3" x14ac:dyDescent="0.2">
      <c r="A91" s="1" t="str">
        <f>HYPERLINK("#'Table 36'!A24", "Go To Table 36a")</f>
        <v>Go To Table 36a</v>
      </c>
      <c r="B91" t="s">
        <v>175</v>
      </c>
      <c r="C91" t="s">
        <v>176</v>
      </c>
    </row>
    <row r="92" spans="1:3" x14ac:dyDescent="0.2">
      <c r="A92" s="1" t="str">
        <f>HYPERLINK("#'Table 37'!A1", "Go To Table 37")</f>
        <v>Go To Table 37</v>
      </c>
      <c r="B92" t="s">
        <v>177</v>
      </c>
      <c r="C92" t="s">
        <v>178</v>
      </c>
    </row>
    <row r="93" spans="1:3" x14ac:dyDescent="0.2">
      <c r="A93" s="5" t="str">
        <f>HYPERLINK("#'Table 38'!A1", "Go To Table 38")</f>
        <v>Go To Table 38</v>
      </c>
      <c r="B93" s="4" t="s">
        <v>179</v>
      </c>
      <c r="C93" s="4" t="s">
        <v>178</v>
      </c>
    </row>
    <row r="94" spans="1:3" x14ac:dyDescent="0.2">
      <c r="B94" t="s">
        <v>180</v>
      </c>
    </row>
    <row r="95" spans="1:3" x14ac:dyDescent="0.2">
      <c r="A95" s="1" t="str">
        <f>HYPERLINK("#'User Guidance'!A1", "Go To User Guidance")</f>
        <v>Go To User Guidance</v>
      </c>
      <c r="B95" t="s">
        <v>181</v>
      </c>
    </row>
    <row r="96" spans="1:3" x14ac:dyDescent="0.2">
      <c r="A96" s="1" t="str">
        <f>HYPERLINK("#'Glossary'!A1", "Go To Glossary")</f>
        <v>Go To Glossary</v>
      </c>
      <c r="B96" t="s">
        <v>182</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N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414</v>
      </c>
    </row>
    <row r="3" spans="2:8" x14ac:dyDescent="0.2">
      <c r="B3" t="s">
        <v>77</v>
      </c>
    </row>
    <row r="4" spans="2:8" ht="15" x14ac:dyDescent="0.25">
      <c r="B4" s="6" t="s">
        <v>78</v>
      </c>
      <c r="H4" s="6" t="s">
        <v>416</v>
      </c>
    </row>
    <row r="5" spans="2:8" x14ac:dyDescent="0.2">
      <c r="B5" t="s">
        <v>196</v>
      </c>
    </row>
    <row r="7" spans="2:8" ht="45" customHeight="1" thickBot="1" x14ac:dyDescent="0.3">
      <c r="B7" s="110" t="s">
        <v>197</v>
      </c>
      <c r="C7" s="111" t="s">
        <v>415</v>
      </c>
      <c r="D7" s="111" t="s">
        <v>199</v>
      </c>
      <c r="E7" s="111" t="s">
        <v>200</v>
      </c>
    </row>
    <row r="8" spans="2:8" ht="15" thickTop="1" x14ac:dyDescent="0.2">
      <c r="B8" s="112">
        <v>2014</v>
      </c>
      <c r="C8" s="113">
        <v>8</v>
      </c>
      <c r="D8" s="118"/>
      <c r="E8" s="118"/>
    </row>
    <row r="9" spans="2:8" x14ac:dyDescent="0.2">
      <c r="B9" s="114">
        <v>2015</v>
      </c>
      <c r="C9" s="115">
        <v>5</v>
      </c>
      <c r="D9" s="119"/>
      <c r="E9" s="119" t="s">
        <v>301</v>
      </c>
    </row>
    <row r="10" spans="2:8" x14ac:dyDescent="0.2">
      <c r="B10" s="116">
        <v>2016</v>
      </c>
      <c r="C10" s="117">
        <v>7</v>
      </c>
      <c r="D10" s="120"/>
      <c r="E10" s="120" t="s">
        <v>301</v>
      </c>
    </row>
    <row r="11" spans="2:8" x14ac:dyDescent="0.2">
      <c r="B11" s="114">
        <v>2017</v>
      </c>
      <c r="C11" s="115">
        <v>6</v>
      </c>
      <c r="D11" s="119"/>
      <c r="E11" s="119" t="s">
        <v>301</v>
      </c>
    </row>
    <row r="12" spans="2:8" x14ac:dyDescent="0.2">
      <c r="B12" s="116">
        <v>2018</v>
      </c>
      <c r="C12" s="117">
        <v>8</v>
      </c>
      <c r="D12" s="120"/>
      <c r="E12" s="120" t="s">
        <v>301</v>
      </c>
    </row>
    <row r="13" spans="2:8" x14ac:dyDescent="0.2">
      <c r="B13" s="114">
        <v>2019</v>
      </c>
      <c r="C13" s="115">
        <v>3</v>
      </c>
      <c r="D13" s="119" t="s">
        <v>301</v>
      </c>
      <c r="E13" s="119" t="s">
        <v>301</v>
      </c>
    </row>
    <row r="14" spans="2:8" x14ac:dyDescent="0.2">
      <c r="B14" s="116">
        <v>2020</v>
      </c>
      <c r="C14" s="117">
        <v>9</v>
      </c>
      <c r="D14" s="120" t="s">
        <v>301</v>
      </c>
      <c r="E14" s="120" t="s">
        <v>301</v>
      </c>
    </row>
    <row r="15" spans="2:8" x14ac:dyDescent="0.2">
      <c r="B15" s="114">
        <v>2021</v>
      </c>
      <c r="C15" s="115">
        <v>6</v>
      </c>
      <c r="D15" s="119" t="s">
        <v>301</v>
      </c>
      <c r="E15" s="119" t="s">
        <v>301</v>
      </c>
    </row>
    <row r="16" spans="2:8" x14ac:dyDescent="0.2">
      <c r="B16" s="116">
        <v>2022</v>
      </c>
      <c r="C16" s="117">
        <v>6</v>
      </c>
      <c r="D16" s="120" t="s">
        <v>301</v>
      </c>
      <c r="E16" s="120" t="s">
        <v>301</v>
      </c>
    </row>
    <row r="17" spans="2:14" x14ac:dyDescent="0.2">
      <c r="B17" s="114">
        <v>2023</v>
      </c>
      <c r="C17" s="115">
        <v>6</v>
      </c>
      <c r="D17" s="119" t="s">
        <v>301</v>
      </c>
      <c r="E17" s="119" t="s">
        <v>301</v>
      </c>
    </row>
    <row r="18" spans="2:14" x14ac:dyDescent="0.2">
      <c r="B18" s="116">
        <v>2024</v>
      </c>
      <c r="C18" s="117">
        <v>10</v>
      </c>
      <c r="D18" s="120" t="s">
        <v>301</v>
      </c>
      <c r="E18" s="120" t="s">
        <v>301</v>
      </c>
    </row>
    <row r="19" spans="2:14" ht="30" customHeight="1" x14ac:dyDescent="0.25">
      <c r="B19" s="121" t="s">
        <v>202</v>
      </c>
      <c r="C19" s="122">
        <v>6.8</v>
      </c>
      <c r="D19" s="123"/>
      <c r="E19" s="14"/>
    </row>
    <row r="21" spans="2:14" ht="50.1" customHeight="1" x14ac:dyDescent="0.2">
      <c r="B21" s="230" t="s">
        <v>417</v>
      </c>
      <c r="C21" s="223"/>
      <c r="D21" s="223"/>
      <c r="E21" s="223"/>
      <c r="F21" s="223"/>
    </row>
    <row r="23" spans="2:14" x14ac:dyDescent="0.2">
      <c r="B23" s="1" t="str">
        <f>HYPERLINK("#'Contents'!A1", "Return to Contents Page")</f>
        <v>Return to Contents Page</v>
      </c>
    </row>
    <row r="26" spans="2:14" ht="15" x14ac:dyDescent="0.25">
      <c r="B26" s="6" t="s">
        <v>79</v>
      </c>
    </row>
    <row r="27" spans="2:14" ht="30" customHeight="1" x14ac:dyDescent="0.25">
      <c r="B27" s="222" t="s">
        <v>80</v>
      </c>
      <c r="C27" s="223"/>
      <c r="D27" s="223"/>
      <c r="E27" s="223"/>
      <c r="H27" s="222" t="s">
        <v>418</v>
      </c>
      <c r="I27" s="223"/>
      <c r="J27" s="223"/>
      <c r="K27" s="223"/>
      <c r="L27" s="223"/>
      <c r="M27" s="223"/>
      <c r="N27" s="223"/>
    </row>
    <row r="28" spans="2:14" ht="15" x14ac:dyDescent="0.25">
      <c r="B28" s="6" t="s">
        <v>196</v>
      </c>
    </row>
    <row r="30" spans="2:14" ht="45" customHeight="1" thickBot="1" x14ac:dyDescent="0.3">
      <c r="B30" s="110" t="s">
        <v>197</v>
      </c>
      <c r="C30" s="111" t="s">
        <v>415</v>
      </c>
      <c r="D30" s="111" t="s">
        <v>199</v>
      </c>
      <c r="E30" s="111" t="s">
        <v>206</v>
      </c>
    </row>
    <row r="31" spans="2:14" ht="15" thickTop="1" x14ac:dyDescent="0.2">
      <c r="B31" s="124" t="s">
        <v>207</v>
      </c>
      <c r="C31" s="113">
        <v>6.8</v>
      </c>
      <c r="D31" s="118"/>
      <c r="E31" s="118"/>
    </row>
    <row r="32" spans="2:14" x14ac:dyDescent="0.2">
      <c r="B32" s="125" t="s">
        <v>208</v>
      </c>
      <c r="C32" s="115">
        <v>5.8</v>
      </c>
      <c r="D32" s="119" t="s">
        <v>301</v>
      </c>
      <c r="E32" s="119" t="s">
        <v>301</v>
      </c>
    </row>
    <row r="33" spans="2:6" x14ac:dyDescent="0.2">
      <c r="B33" s="126" t="s">
        <v>209</v>
      </c>
      <c r="C33" s="117">
        <v>6.6</v>
      </c>
      <c r="D33" s="120" t="s">
        <v>301</v>
      </c>
      <c r="E33" s="120" t="s">
        <v>301</v>
      </c>
    </row>
    <row r="34" spans="2:6" x14ac:dyDescent="0.2">
      <c r="B34" s="125" t="s">
        <v>210</v>
      </c>
      <c r="C34" s="115">
        <v>6.4</v>
      </c>
      <c r="D34" s="119" t="s">
        <v>301</v>
      </c>
      <c r="E34" s="119" t="s">
        <v>301</v>
      </c>
    </row>
    <row r="35" spans="2:6" x14ac:dyDescent="0.2">
      <c r="B35" s="126" t="s">
        <v>211</v>
      </c>
      <c r="C35" s="117">
        <v>6.4</v>
      </c>
      <c r="D35" s="120" t="s">
        <v>301</v>
      </c>
      <c r="E35" s="120" t="s">
        <v>301</v>
      </c>
    </row>
    <row r="36" spans="2:6" x14ac:dyDescent="0.2">
      <c r="B36" s="125" t="s">
        <v>212</v>
      </c>
      <c r="C36" s="115">
        <v>6</v>
      </c>
      <c r="D36" s="119" t="s">
        <v>301</v>
      </c>
      <c r="E36" s="119" t="s">
        <v>301</v>
      </c>
    </row>
    <row r="37" spans="2:6" x14ac:dyDescent="0.2">
      <c r="B37" s="126" t="s">
        <v>213</v>
      </c>
      <c r="C37" s="117">
        <v>7.4</v>
      </c>
      <c r="D37" s="120" t="s">
        <v>301</v>
      </c>
      <c r="E37" s="120" t="s">
        <v>301</v>
      </c>
    </row>
    <row r="38" spans="2:6" ht="30" x14ac:dyDescent="0.25">
      <c r="B38" s="121" t="s">
        <v>214</v>
      </c>
      <c r="C38" s="122">
        <v>6.8</v>
      </c>
      <c r="D38" s="123"/>
      <c r="E38" s="14"/>
    </row>
    <row r="39" spans="2:6" x14ac:dyDescent="0.2">
      <c r="C39" s="7"/>
      <c r="D39" s="8"/>
      <c r="E39" s="8"/>
    </row>
    <row r="40" spans="2:6" ht="50.1" customHeight="1" x14ac:dyDescent="0.2">
      <c r="B40" s="230" t="s">
        <v>417</v>
      </c>
      <c r="C40" s="227"/>
      <c r="D40" s="229"/>
      <c r="E40" s="229"/>
      <c r="F40" s="223"/>
    </row>
    <row r="41" spans="2:6" x14ac:dyDescent="0.2">
      <c r="C41" s="7"/>
      <c r="D41" s="8"/>
      <c r="E41" s="8"/>
    </row>
    <row r="42" spans="2:6" x14ac:dyDescent="0.2">
      <c r="C42" s="7"/>
      <c r="D42" s="8"/>
      <c r="E42" s="8"/>
    </row>
    <row r="43" spans="2:6" x14ac:dyDescent="0.2">
      <c r="C43" s="7"/>
      <c r="D43" s="8"/>
      <c r="E43" s="8"/>
    </row>
    <row r="44" spans="2:6" x14ac:dyDescent="0.2">
      <c r="B44" s="1" t="str">
        <f>HYPERLINK("#'Contents'!A1", "Return to Contents Page")</f>
        <v>Return to Contents Page</v>
      </c>
      <c r="C44" s="7"/>
      <c r="D44" s="8"/>
      <c r="E44" s="8"/>
    </row>
    <row r="45" spans="2:6" x14ac:dyDescent="0.2">
      <c r="C45" s="7"/>
      <c r="D45" s="8"/>
      <c r="E45" s="8"/>
    </row>
    <row r="46" spans="2:6" x14ac:dyDescent="0.2">
      <c r="C46" s="7"/>
      <c r="D46" s="8"/>
      <c r="E46" s="8"/>
    </row>
    <row r="47" spans="2:6" x14ac:dyDescent="0.2">
      <c r="C47" s="7"/>
      <c r="D47" s="8"/>
      <c r="E47" s="8"/>
    </row>
    <row r="48" spans="2:6" x14ac:dyDescent="0.2">
      <c r="C48" s="7"/>
      <c r="D48" s="8"/>
      <c r="E48" s="8"/>
    </row>
    <row r="49" spans="3:5" x14ac:dyDescent="0.2">
      <c r="C49" s="7"/>
      <c r="D49" s="8"/>
      <c r="E49" s="8"/>
    </row>
    <row r="50" spans="3:5" x14ac:dyDescent="0.2">
      <c r="C50" s="7"/>
      <c r="D50" s="8"/>
      <c r="E50" s="8"/>
    </row>
  </sheetData>
  <mergeCells count="4">
    <mergeCell ref="B27:E27"/>
    <mergeCell ref="H27:N27"/>
    <mergeCell ref="B21:F21"/>
    <mergeCell ref="B40:F40"/>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R86"/>
  <sheetViews>
    <sheetView showGridLines="0" workbookViewId="0"/>
  </sheetViews>
  <sheetFormatPr defaultColWidth="11" defaultRowHeight="14.25" x14ac:dyDescent="0.2"/>
  <cols>
    <col min="4" max="4" width="13.25" customWidth="1"/>
    <col min="6" max="7" width="12.5" customWidth="1"/>
  </cols>
  <sheetData>
    <row r="1" spans="2:18" ht="15" x14ac:dyDescent="0.25">
      <c r="B1" s="6" t="s">
        <v>419</v>
      </c>
    </row>
    <row r="3" spans="2:18" x14ac:dyDescent="0.2">
      <c r="B3" t="s">
        <v>420</v>
      </c>
    </row>
    <row r="4" spans="2:18" ht="30" customHeight="1" x14ac:dyDescent="0.25">
      <c r="B4" s="222" t="s">
        <v>421</v>
      </c>
      <c r="C4" s="223"/>
      <c r="D4" s="223"/>
      <c r="E4" s="223"/>
      <c r="F4" s="223"/>
      <c r="G4" s="223"/>
      <c r="J4" s="222" t="s">
        <v>426</v>
      </c>
      <c r="K4" s="223"/>
      <c r="L4" s="223"/>
      <c r="M4" s="223"/>
      <c r="N4" s="223"/>
      <c r="O4" s="223"/>
      <c r="P4" s="223"/>
      <c r="Q4" s="223"/>
      <c r="R4" s="223"/>
    </row>
    <row r="5" spans="2:18" x14ac:dyDescent="0.2">
      <c r="B5" t="s">
        <v>196</v>
      </c>
    </row>
    <row r="7" spans="2:18" ht="15" x14ac:dyDescent="0.25">
      <c r="B7" s="224" t="s">
        <v>422</v>
      </c>
      <c r="C7" s="224"/>
      <c r="D7" s="224"/>
      <c r="E7" s="224"/>
      <c r="F7" s="224"/>
      <c r="G7" s="224"/>
    </row>
    <row r="8" spans="2:18" ht="45" customHeight="1" thickBot="1" x14ac:dyDescent="0.3">
      <c r="B8" s="110" t="s">
        <v>197</v>
      </c>
      <c r="C8" s="111" t="s">
        <v>423</v>
      </c>
      <c r="D8" s="111" t="s">
        <v>424</v>
      </c>
      <c r="E8" s="111" t="s">
        <v>425</v>
      </c>
      <c r="F8" s="111" t="s">
        <v>199</v>
      </c>
      <c r="G8" s="111" t="s">
        <v>200</v>
      </c>
    </row>
    <row r="9" spans="2:18" ht="15" thickTop="1" x14ac:dyDescent="0.2">
      <c r="B9" s="112">
        <v>2014</v>
      </c>
      <c r="C9" s="113">
        <v>23</v>
      </c>
      <c r="D9" s="113">
        <v>165177</v>
      </c>
      <c r="E9" s="127">
        <v>13.924456794832199</v>
      </c>
      <c r="F9" s="118"/>
      <c r="G9" s="118"/>
    </row>
    <row r="10" spans="2:18" x14ac:dyDescent="0.2">
      <c r="B10" s="114">
        <v>2015</v>
      </c>
      <c r="C10" s="115">
        <v>39</v>
      </c>
      <c r="D10" s="115">
        <v>166098</v>
      </c>
      <c r="E10" s="128">
        <v>23.480114149477998</v>
      </c>
      <c r="F10" s="119"/>
      <c r="G10" s="119">
        <v>0.68624991950796999</v>
      </c>
    </row>
    <row r="11" spans="2:18" x14ac:dyDescent="0.2">
      <c r="B11" s="116">
        <v>2016</v>
      </c>
      <c r="C11" s="117">
        <v>43</v>
      </c>
      <c r="D11" s="117">
        <v>166949</v>
      </c>
      <c r="E11" s="129">
        <v>25.756368711402899</v>
      </c>
      <c r="F11" s="120"/>
      <c r="G11" s="120">
        <v>9.6943930827332395E-2</v>
      </c>
    </row>
    <row r="12" spans="2:18" x14ac:dyDescent="0.2">
      <c r="B12" s="114">
        <v>2017</v>
      </c>
      <c r="C12" s="115">
        <v>38</v>
      </c>
      <c r="D12" s="115">
        <v>167787</v>
      </c>
      <c r="E12" s="128">
        <v>22.647761745546401</v>
      </c>
      <c r="F12" s="119"/>
      <c r="G12" s="119">
        <v>-0.120692749847155</v>
      </c>
    </row>
    <row r="13" spans="2:18" x14ac:dyDescent="0.2">
      <c r="B13" s="116">
        <v>2018</v>
      </c>
      <c r="C13" s="117">
        <v>28</v>
      </c>
      <c r="D13" s="117">
        <v>168744</v>
      </c>
      <c r="E13" s="129">
        <v>16.593182572417401</v>
      </c>
      <c r="F13" s="120"/>
      <c r="G13" s="120">
        <v>-0.26733675676889601</v>
      </c>
    </row>
    <row r="14" spans="2:18" x14ac:dyDescent="0.2">
      <c r="B14" s="114">
        <v>2019</v>
      </c>
      <c r="C14" s="115">
        <v>39</v>
      </c>
      <c r="D14" s="115">
        <v>169933</v>
      </c>
      <c r="E14" s="128">
        <v>22.950221557908101</v>
      </c>
      <c r="F14" s="119">
        <v>0.12033989453635</v>
      </c>
      <c r="G14" s="119">
        <v>0.38311149520273102</v>
      </c>
    </row>
    <row r="15" spans="2:18" x14ac:dyDescent="0.2">
      <c r="B15" s="116">
        <v>2020</v>
      </c>
      <c r="C15" s="117">
        <v>26</v>
      </c>
      <c r="D15" s="117">
        <v>169495</v>
      </c>
      <c r="E15" s="129">
        <v>15.339685536446501</v>
      </c>
      <c r="F15" s="120">
        <v>-0.25117665497213998</v>
      </c>
      <c r="G15" s="120">
        <v>-0.33161056865000899</v>
      </c>
    </row>
    <row r="16" spans="2:18" x14ac:dyDescent="0.2">
      <c r="B16" s="114">
        <v>2021</v>
      </c>
      <c r="C16" s="115">
        <v>41</v>
      </c>
      <c r="D16" s="115">
        <v>169495</v>
      </c>
      <c r="E16" s="128">
        <v>24.189504115165601</v>
      </c>
      <c r="F16" s="119">
        <v>0.18083681331316301</v>
      </c>
      <c r="G16" s="119">
        <v>0.57692307692307698</v>
      </c>
    </row>
    <row r="17" spans="2:7" x14ac:dyDescent="0.2">
      <c r="B17" s="116">
        <v>2022</v>
      </c>
      <c r="C17" s="117">
        <v>32</v>
      </c>
      <c r="D17" s="117">
        <v>169495</v>
      </c>
      <c r="E17" s="129">
        <v>18.8796129679342</v>
      </c>
      <c r="F17" s="120">
        <v>-7.8371267658018898E-2</v>
      </c>
      <c r="G17" s="120">
        <v>-0.219512195121951</v>
      </c>
    </row>
    <row r="18" spans="2:7" x14ac:dyDescent="0.2">
      <c r="B18" s="114">
        <v>2023</v>
      </c>
      <c r="C18" s="115">
        <v>37</v>
      </c>
      <c r="D18" s="115">
        <v>169495</v>
      </c>
      <c r="E18" s="128">
        <v>21.8295524941739</v>
      </c>
      <c r="F18" s="119">
        <v>6.5633221770415695E-2</v>
      </c>
      <c r="G18" s="119">
        <v>0.15625</v>
      </c>
    </row>
    <row r="19" spans="2:7" x14ac:dyDescent="0.2">
      <c r="B19" s="116">
        <v>2024</v>
      </c>
      <c r="C19" s="117">
        <v>43</v>
      </c>
      <c r="D19" s="117">
        <v>169495</v>
      </c>
      <c r="E19" s="129">
        <v>25.369479925661501</v>
      </c>
      <c r="F19" s="120">
        <v>0.23843860908453701</v>
      </c>
      <c r="G19" s="120">
        <v>0.162162162162162</v>
      </c>
    </row>
    <row r="20" spans="2:7" ht="30" x14ac:dyDescent="0.25">
      <c r="B20" s="15" t="s">
        <v>202</v>
      </c>
      <c r="C20" s="16">
        <v>34.200000000000003</v>
      </c>
      <c r="D20" s="16">
        <v>166951</v>
      </c>
      <c r="E20" s="23">
        <v>20.4850525004343</v>
      </c>
      <c r="F20" s="14"/>
      <c r="G20" s="14"/>
    </row>
    <row r="21" spans="2:7" x14ac:dyDescent="0.2">
      <c r="B21" s="9" t="s">
        <v>427</v>
      </c>
    </row>
    <row r="22" spans="2:7" x14ac:dyDescent="0.2">
      <c r="B22" s="9" t="s">
        <v>428</v>
      </c>
    </row>
    <row r="23" spans="2:7" x14ac:dyDescent="0.2">
      <c r="B23" s="9" t="s">
        <v>429</v>
      </c>
    </row>
    <row r="25" spans="2:7" x14ac:dyDescent="0.2">
      <c r="B25" t="s">
        <v>430</v>
      </c>
    </row>
    <row r="26" spans="2:7" ht="30" customHeight="1" x14ac:dyDescent="0.25">
      <c r="B26" s="222" t="s">
        <v>431</v>
      </c>
      <c r="C26" s="223"/>
      <c r="D26" s="223"/>
      <c r="E26" s="223"/>
      <c r="F26" s="223"/>
      <c r="G26" s="223"/>
    </row>
    <row r="27" spans="2:7" x14ac:dyDescent="0.2">
      <c r="B27" t="s">
        <v>196</v>
      </c>
    </row>
    <row r="29" spans="2:7" ht="15" x14ac:dyDescent="0.25">
      <c r="B29" s="224" t="s">
        <v>432</v>
      </c>
      <c r="C29" s="224"/>
      <c r="D29" s="224"/>
      <c r="E29" s="224"/>
      <c r="F29" s="224"/>
      <c r="G29" s="224"/>
    </row>
    <row r="30" spans="2:7" ht="45" customHeight="1" thickBot="1" x14ac:dyDescent="0.3">
      <c r="B30" s="110" t="s">
        <v>197</v>
      </c>
      <c r="C30" s="111" t="s">
        <v>423</v>
      </c>
      <c r="D30" s="111" t="s">
        <v>424</v>
      </c>
      <c r="E30" s="111" t="s">
        <v>425</v>
      </c>
      <c r="F30" s="111" t="s">
        <v>199</v>
      </c>
      <c r="G30" s="111" t="s">
        <v>200</v>
      </c>
    </row>
    <row r="31" spans="2:7" ht="15" thickTop="1" x14ac:dyDescent="0.2">
      <c r="B31" s="112">
        <v>2014</v>
      </c>
      <c r="C31" s="113">
        <v>10</v>
      </c>
      <c r="D31" s="113">
        <v>177020</v>
      </c>
      <c r="E31" s="127">
        <v>5.64907920009039</v>
      </c>
      <c r="F31" s="118"/>
      <c r="G31" s="118"/>
    </row>
    <row r="32" spans="2:7" x14ac:dyDescent="0.2">
      <c r="B32" s="114">
        <v>2015</v>
      </c>
      <c r="C32" s="115">
        <v>10</v>
      </c>
      <c r="D32" s="115">
        <v>177550</v>
      </c>
      <c r="E32" s="128">
        <v>5.6322162771050399</v>
      </c>
      <c r="F32" s="119"/>
      <c r="G32" s="119" t="s">
        <v>301</v>
      </c>
    </row>
    <row r="33" spans="2:7" x14ac:dyDescent="0.2">
      <c r="B33" s="116">
        <v>2016</v>
      </c>
      <c r="C33" s="117">
        <v>5</v>
      </c>
      <c r="D33" s="117">
        <v>178091</v>
      </c>
      <c r="E33" s="129">
        <v>2.8075534417797599</v>
      </c>
      <c r="F33" s="120"/>
      <c r="G33" s="120" t="s">
        <v>301</v>
      </c>
    </row>
    <row r="34" spans="2:7" x14ac:dyDescent="0.2">
      <c r="B34" s="114">
        <v>2017</v>
      </c>
      <c r="C34" s="115">
        <v>10</v>
      </c>
      <c r="D34" s="115">
        <v>178492</v>
      </c>
      <c r="E34" s="128">
        <v>5.6024919884364603</v>
      </c>
      <c r="F34" s="119"/>
      <c r="G34" s="119" t="s">
        <v>301</v>
      </c>
    </row>
    <row r="35" spans="2:7" x14ac:dyDescent="0.2">
      <c r="B35" s="116">
        <v>2018</v>
      </c>
      <c r="C35" s="117">
        <v>8</v>
      </c>
      <c r="D35" s="117">
        <v>179977</v>
      </c>
      <c r="E35" s="129">
        <v>4.4450124182534401</v>
      </c>
      <c r="F35" s="120"/>
      <c r="G35" s="120" t="s">
        <v>301</v>
      </c>
    </row>
    <row r="36" spans="2:7" x14ac:dyDescent="0.2">
      <c r="B36" s="114">
        <v>2019</v>
      </c>
      <c r="C36" s="115">
        <v>10</v>
      </c>
      <c r="D36" s="115">
        <v>180739</v>
      </c>
      <c r="E36" s="128">
        <v>5.5328401728459298</v>
      </c>
      <c r="F36" s="119" t="s">
        <v>301</v>
      </c>
      <c r="G36" s="119" t="s">
        <v>301</v>
      </c>
    </row>
    <row r="37" spans="2:7" x14ac:dyDescent="0.2">
      <c r="B37" s="116">
        <v>2020</v>
      </c>
      <c r="C37" s="117">
        <v>5</v>
      </c>
      <c r="D37" s="117">
        <v>180785</v>
      </c>
      <c r="E37" s="129">
        <v>2.76571618220538</v>
      </c>
      <c r="F37" s="120" t="s">
        <v>301</v>
      </c>
      <c r="G37" s="120" t="s">
        <v>301</v>
      </c>
    </row>
    <row r="38" spans="2:7" x14ac:dyDescent="0.2">
      <c r="B38" s="114">
        <v>2021</v>
      </c>
      <c r="C38" s="115">
        <v>9</v>
      </c>
      <c r="D38" s="115">
        <v>180785</v>
      </c>
      <c r="E38" s="128">
        <v>4.9782891279696901</v>
      </c>
      <c r="F38" s="119" t="s">
        <v>301</v>
      </c>
      <c r="G38" s="119" t="s">
        <v>301</v>
      </c>
    </row>
    <row r="39" spans="2:7" x14ac:dyDescent="0.2">
      <c r="B39" s="116">
        <v>2022</v>
      </c>
      <c r="C39" s="117">
        <v>10</v>
      </c>
      <c r="D39" s="117">
        <v>180785</v>
      </c>
      <c r="E39" s="129">
        <v>5.5314323644107599</v>
      </c>
      <c r="F39" s="120" t="s">
        <v>301</v>
      </c>
      <c r="G39" s="120" t="s">
        <v>301</v>
      </c>
    </row>
    <row r="40" spans="2:7" x14ac:dyDescent="0.2">
      <c r="B40" s="114">
        <v>2023</v>
      </c>
      <c r="C40" s="115">
        <v>13</v>
      </c>
      <c r="D40" s="115">
        <v>180785</v>
      </c>
      <c r="E40" s="128">
        <v>7.1908620737339897</v>
      </c>
      <c r="F40" s="119" t="s">
        <v>301</v>
      </c>
      <c r="G40" s="119" t="s">
        <v>301</v>
      </c>
    </row>
    <row r="41" spans="2:7" x14ac:dyDescent="0.2">
      <c r="B41" s="116">
        <v>2024</v>
      </c>
      <c r="C41" s="117">
        <v>6</v>
      </c>
      <c r="D41" s="117">
        <v>180785</v>
      </c>
      <c r="E41" s="129">
        <v>3.3188594186464599</v>
      </c>
      <c r="F41" s="120" t="s">
        <v>301</v>
      </c>
      <c r="G41" s="120" t="s">
        <v>301</v>
      </c>
    </row>
    <row r="42" spans="2:7" ht="30" x14ac:dyDescent="0.25">
      <c r="B42" s="15" t="s">
        <v>202</v>
      </c>
      <c r="C42" s="16">
        <v>8.6</v>
      </c>
      <c r="D42" s="16">
        <v>178226</v>
      </c>
      <c r="E42" s="23">
        <v>4.8253341263339804</v>
      </c>
      <c r="F42" s="14"/>
      <c r="G42" s="14"/>
    </row>
    <row r="43" spans="2:7" x14ac:dyDescent="0.2">
      <c r="B43" s="9" t="s">
        <v>427</v>
      </c>
    </row>
    <row r="44" spans="2:7" x14ac:dyDescent="0.2">
      <c r="B44" s="9" t="s">
        <v>428</v>
      </c>
    </row>
    <row r="45" spans="2:7" x14ac:dyDescent="0.2">
      <c r="B45" s="9" t="s">
        <v>429</v>
      </c>
    </row>
    <row r="47" spans="2:7" x14ac:dyDescent="0.2">
      <c r="B47" s="1" t="str">
        <f>HYPERLINK("#'Contents'!A1", "Return to Contents Page")</f>
        <v>Return to Contents Page</v>
      </c>
    </row>
    <row r="49" spans="2:18" ht="45" customHeight="1" x14ac:dyDescent="0.2"/>
    <row r="50" spans="2:18" x14ac:dyDescent="0.2">
      <c r="B50" t="s">
        <v>433</v>
      </c>
    </row>
    <row r="51" spans="2:18" ht="45" customHeight="1" x14ac:dyDescent="0.25">
      <c r="B51" s="222" t="s">
        <v>434</v>
      </c>
      <c r="C51" s="223"/>
      <c r="D51" s="223"/>
      <c r="E51" s="223"/>
      <c r="F51" s="223"/>
      <c r="G51" s="223"/>
      <c r="J51" s="222" t="s">
        <v>435</v>
      </c>
      <c r="K51" s="223"/>
      <c r="L51" s="223"/>
      <c r="M51" s="223"/>
      <c r="N51" s="223"/>
      <c r="O51" s="223"/>
      <c r="P51" s="223"/>
      <c r="Q51" s="223"/>
      <c r="R51" s="223"/>
    </row>
    <row r="52" spans="2:18" x14ac:dyDescent="0.2">
      <c r="B52" t="s">
        <v>196</v>
      </c>
    </row>
    <row r="54" spans="2:18" ht="15" x14ac:dyDescent="0.25">
      <c r="B54" s="224" t="s">
        <v>422</v>
      </c>
      <c r="C54" s="224"/>
      <c r="D54" s="224"/>
      <c r="E54" s="224"/>
      <c r="F54" s="224"/>
      <c r="G54" s="224"/>
    </row>
    <row r="55" spans="2:18" ht="45.75" thickBot="1" x14ac:dyDescent="0.3">
      <c r="B55" s="110" t="s">
        <v>197</v>
      </c>
      <c r="C55" s="111" t="s">
        <v>423</v>
      </c>
      <c r="D55" s="111" t="s">
        <v>424</v>
      </c>
      <c r="E55" s="111" t="s">
        <v>425</v>
      </c>
      <c r="F55" s="111" t="s">
        <v>199</v>
      </c>
      <c r="G55" s="111" t="s">
        <v>200</v>
      </c>
    </row>
    <row r="56" spans="2:18" ht="15" thickTop="1" x14ac:dyDescent="0.2">
      <c r="B56" s="112" t="s">
        <v>207</v>
      </c>
      <c r="C56" s="113">
        <v>34.200000000000003</v>
      </c>
      <c r="D56" s="113">
        <v>166951</v>
      </c>
      <c r="E56" s="127">
        <v>20.4850525004343</v>
      </c>
      <c r="F56" s="118"/>
      <c r="G56" s="118"/>
    </row>
    <row r="57" spans="2:18" x14ac:dyDescent="0.2">
      <c r="B57" s="114" t="s">
        <v>208</v>
      </c>
      <c r="C57" s="115">
        <v>37.4</v>
      </c>
      <c r="D57" s="115">
        <v>167902</v>
      </c>
      <c r="E57" s="128">
        <v>22.274898452668801</v>
      </c>
      <c r="F57" s="119">
        <v>8.7373266541377698E-2</v>
      </c>
      <c r="G57" s="119">
        <v>8.7373266541377698E-2</v>
      </c>
    </row>
    <row r="58" spans="2:18" x14ac:dyDescent="0.2">
      <c r="B58" s="116" t="s">
        <v>209</v>
      </c>
      <c r="C58" s="117">
        <v>34.799999999999997</v>
      </c>
      <c r="D58" s="117">
        <v>168582</v>
      </c>
      <c r="E58" s="129">
        <v>20.6427732498131</v>
      </c>
      <c r="F58" s="120">
        <v>7.6993090144895603E-3</v>
      </c>
      <c r="G58" s="120">
        <v>-7.3271948077506199E-2</v>
      </c>
    </row>
    <row r="59" spans="2:18" x14ac:dyDescent="0.2">
      <c r="B59" s="114" t="s">
        <v>210</v>
      </c>
      <c r="C59" s="115">
        <v>34.4</v>
      </c>
      <c r="D59" s="115">
        <v>169091</v>
      </c>
      <c r="E59" s="128">
        <v>20.344075083830599</v>
      </c>
      <c r="F59" s="119">
        <v>-6.8819651109350401E-3</v>
      </c>
      <c r="G59" s="119">
        <v>-1.4469866154502801E-2</v>
      </c>
    </row>
    <row r="60" spans="2:18" x14ac:dyDescent="0.2">
      <c r="B60" s="116" t="s">
        <v>211</v>
      </c>
      <c r="C60" s="117">
        <v>33.200000000000003</v>
      </c>
      <c r="D60" s="117">
        <v>169432</v>
      </c>
      <c r="E60" s="129">
        <v>19.594881722460901</v>
      </c>
      <c r="F60" s="120">
        <v>-4.3454649577025002E-2</v>
      </c>
      <c r="G60" s="120">
        <v>-3.6826120542836897E-2</v>
      </c>
    </row>
    <row r="61" spans="2:18" x14ac:dyDescent="0.2">
      <c r="B61" s="114" t="s">
        <v>212</v>
      </c>
      <c r="C61" s="115">
        <v>35</v>
      </c>
      <c r="D61" s="115">
        <v>169583</v>
      </c>
      <c r="E61" s="128">
        <v>20.638861206606801</v>
      </c>
      <c r="F61" s="119">
        <v>7.5083383930440502E-3</v>
      </c>
      <c r="G61" s="119">
        <v>5.3278172276446399E-2</v>
      </c>
    </row>
    <row r="62" spans="2:18" x14ac:dyDescent="0.2">
      <c r="B62" s="116" t="s">
        <v>213</v>
      </c>
      <c r="C62" s="117">
        <v>35.799999999999997</v>
      </c>
      <c r="D62" s="117">
        <v>169583</v>
      </c>
      <c r="E62" s="129">
        <v>21.110606605614901</v>
      </c>
      <c r="F62" s="120">
        <v>3.0537100413456399E-2</v>
      </c>
      <c r="G62" s="120">
        <v>2.2857142857142701E-2</v>
      </c>
    </row>
    <row r="63" spans="2:18" ht="30" customHeight="1" x14ac:dyDescent="0.25">
      <c r="B63" s="15" t="s">
        <v>202</v>
      </c>
      <c r="C63" s="16">
        <v>34.200000000000003</v>
      </c>
      <c r="D63" s="16">
        <v>166951</v>
      </c>
      <c r="E63" s="23">
        <v>20.4850525004343</v>
      </c>
      <c r="F63" s="14"/>
      <c r="G63" s="14"/>
    </row>
    <row r="64" spans="2:18" x14ac:dyDescent="0.2">
      <c r="B64" s="9" t="s">
        <v>427</v>
      </c>
    </row>
    <row r="65" spans="2:7" x14ac:dyDescent="0.2">
      <c r="B65" s="9" t="s">
        <v>428</v>
      </c>
    </row>
    <row r="66" spans="2:7" x14ac:dyDescent="0.2">
      <c r="B66" s="9" t="s">
        <v>429</v>
      </c>
    </row>
    <row r="68" spans="2:7" x14ac:dyDescent="0.2">
      <c r="B68" t="s">
        <v>436</v>
      </c>
    </row>
    <row r="69" spans="2:7" ht="45" customHeight="1" x14ac:dyDescent="0.25">
      <c r="B69" s="222" t="s">
        <v>437</v>
      </c>
      <c r="C69" s="223"/>
      <c r="D69" s="223"/>
      <c r="E69" s="223"/>
      <c r="F69" s="223"/>
      <c r="G69" s="223"/>
    </row>
    <row r="70" spans="2:7" x14ac:dyDescent="0.2">
      <c r="B70" t="s">
        <v>196</v>
      </c>
    </row>
    <row r="72" spans="2:7" ht="15" x14ac:dyDescent="0.25">
      <c r="B72" s="224" t="s">
        <v>432</v>
      </c>
      <c r="C72" s="224"/>
      <c r="D72" s="224"/>
      <c r="E72" s="224"/>
      <c r="F72" s="224"/>
      <c r="G72" s="224"/>
    </row>
    <row r="73" spans="2:7" ht="45" customHeight="1" thickBot="1" x14ac:dyDescent="0.3">
      <c r="B73" s="110" t="s">
        <v>197</v>
      </c>
      <c r="C73" s="111" t="s">
        <v>423</v>
      </c>
      <c r="D73" s="111" t="s">
        <v>424</v>
      </c>
      <c r="E73" s="111" t="s">
        <v>425</v>
      </c>
      <c r="F73" s="111" t="s">
        <v>199</v>
      </c>
      <c r="G73" s="111" t="s">
        <v>200</v>
      </c>
    </row>
    <row r="74" spans="2:7" ht="15" thickTop="1" x14ac:dyDescent="0.2">
      <c r="B74" s="112" t="s">
        <v>207</v>
      </c>
      <c r="C74" s="113">
        <v>8.6</v>
      </c>
      <c r="D74" s="113">
        <v>178226</v>
      </c>
      <c r="E74" s="127">
        <v>4.8253341263339804</v>
      </c>
      <c r="F74" s="118"/>
      <c r="G74" s="118"/>
    </row>
    <row r="75" spans="2:7" x14ac:dyDescent="0.2">
      <c r="B75" s="114" t="s">
        <v>208</v>
      </c>
      <c r="C75" s="115">
        <v>8.6</v>
      </c>
      <c r="D75" s="115">
        <v>178970</v>
      </c>
      <c r="E75" s="128">
        <v>4.8052746270324604</v>
      </c>
      <c r="F75" s="119" t="s">
        <v>301</v>
      </c>
      <c r="G75" s="119" t="s">
        <v>301</v>
      </c>
    </row>
    <row r="76" spans="2:7" x14ac:dyDescent="0.2">
      <c r="B76" s="116" t="s">
        <v>209</v>
      </c>
      <c r="C76" s="117">
        <v>7.6</v>
      </c>
      <c r="D76" s="117">
        <v>179617</v>
      </c>
      <c r="E76" s="129">
        <v>4.2312253294510001</v>
      </c>
      <c r="F76" s="120" t="s">
        <v>301</v>
      </c>
      <c r="G76" s="120" t="s">
        <v>301</v>
      </c>
    </row>
    <row r="77" spans="2:7" x14ac:dyDescent="0.2">
      <c r="B77" s="114" t="s">
        <v>210</v>
      </c>
      <c r="C77" s="115">
        <v>8.4</v>
      </c>
      <c r="D77" s="115">
        <v>180156</v>
      </c>
      <c r="E77" s="128">
        <v>4.6626257243722096</v>
      </c>
      <c r="F77" s="119" t="s">
        <v>301</v>
      </c>
      <c r="G77" s="119" t="s">
        <v>301</v>
      </c>
    </row>
    <row r="78" spans="2:7" x14ac:dyDescent="0.2">
      <c r="B78" s="116" t="s">
        <v>211</v>
      </c>
      <c r="C78" s="117">
        <v>8.4</v>
      </c>
      <c r="D78" s="117">
        <v>180614</v>
      </c>
      <c r="E78" s="129">
        <v>4.6508022633904398</v>
      </c>
      <c r="F78" s="120" t="s">
        <v>301</v>
      </c>
      <c r="G78" s="120" t="s">
        <v>301</v>
      </c>
    </row>
    <row r="79" spans="2:7" x14ac:dyDescent="0.2">
      <c r="B79" s="114" t="s">
        <v>212</v>
      </c>
      <c r="C79" s="115">
        <v>9.4</v>
      </c>
      <c r="D79" s="115">
        <v>180776</v>
      </c>
      <c r="E79" s="128">
        <v>5.1998052838872404</v>
      </c>
      <c r="F79" s="119" t="s">
        <v>301</v>
      </c>
      <c r="G79" s="119" t="s">
        <v>301</v>
      </c>
    </row>
    <row r="80" spans="2:7" x14ac:dyDescent="0.2">
      <c r="B80" s="116" t="s">
        <v>213</v>
      </c>
      <c r="C80" s="117">
        <v>8.6</v>
      </c>
      <c r="D80" s="117">
        <v>180776</v>
      </c>
      <c r="E80" s="129">
        <v>4.7572686639819404</v>
      </c>
      <c r="F80" s="120" t="s">
        <v>301</v>
      </c>
      <c r="G80" s="120" t="s">
        <v>301</v>
      </c>
    </row>
    <row r="81" spans="2:7" ht="30" customHeight="1" x14ac:dyDescent="0.25">
      <c r="B81" s="15" t="s">
        <v>202</v>
      </c>
      <c r="C81" s="16">
        <v>8.6</v>
      </c>
      <c r="D81" s="16">
        <v>178226</v>
      </c>
      <c r="E81" s="23">
        <v>4.8253341263339804</v>
      </c>
      <c r="F81" s="14"/>
      <c r="G81" s="14"/>
    </row>
    <row r="82" spans="2:7" x14ac:dyDescent="0.2">
      <c r="B82" s="9" t="s">
        <v>427</v>
      </c>
    </row>
    <row r="83" spans="2:7" x14ac:dyDescent="0.2">
      <c r="B83" s="9" t="s">
        <v>428</v>
      </c>
    </row>
    <row r="84" spans="2:7" x14ac:dyDescent="0.2">
      <c r="B84" s="9" t="s">
        <v>429</v>
      </c>
    </row>
    <row r="86" spans="2:7" x14ac:dyDescent="0.2">
      <c r="B86" s="1" t="str">
        <f>HYPERLINK("#'Contents'!A1", "Return to Contents Page")</f>
        <v>Return to Contents Page</v>
      </c>
    </row>
  </sheetData>
  <mergeCells count="10">
    <mergeCell ref="B51:G51"/>
    <mergeCell ref="B54:G54"/>
    <mergeCell ref="J51:R51"/>
    <mergeCell ref="B72:G72"/>
    <mergeCell ref="B69:G69"/>
    <mergeCell ref="B7:G7"/>
    <mergeCell ref="J4:R4"/>
    <mergeCell ref="B4:G4"/>
    <mergeCell ref="B29:G29"/>
    <mergeCell ref="B26:G26"/>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R86"/>
  <sheetViews>
    <sheetView showGridLines="0" workbookViewId="0"/>
  </sheetViews>
  <sheetFormatPr defaultColWidth="11" defaultRowHeight="14.25" x14ac:dyDescent="0.2"/>
  <cols>
    <col min="4" max="4" width="13.25" customWidth="1"/>
    <col min="6" max="7" width="12.5" customWidth="1"/>
  </cols>
  <sheetData>
    <row r="1" spans="2:18" ht="15" x14ac:dyDescent="0.25">
      <c r="B1" s="6" t="s">
        <v>438</v>
      </c>
    </row>
    <row r="3" spans="2:18" x14ac:dyDescent="0.2">
      <c r="B3" t="s">
        <v>439</v>
      </c>
    </row>
    <row r="4" spans="2:18" ht="30" customHeight="1" x14ac:dyDescent="0.25">
      <c r="B4" s="222" t="s">
        <v>440</v>
      </c>
      <c r="C4" s="223"/>
      <c r="D4" s="223"/>
      <c r="E4" s="223"/>
      <c r="F4" s="223"/>
      <c r="G4" s="223"/>
      <c r="H4" s="223"/>
      <c r="J4" s="222" t="s">
        <v>441</v>
      </c>
      <c r="K4" s="223"/>
      <c r="L4" s="223"/>
      <c r="M4" s="223"/>
      <c r="N4" s="223"/>
      <c r="O4" s="223"/>
      <c r="P4" s="223"/>
      <c r="Q4" s="223"/>
      <c r="R4" s="223"/>
    </row>
    <row r="5" spans="2:18" x14ac:dyDescent="0.2">
      <c r="B5" t="s">
        <v>196</v>
      </c>
    </row>
    <row r="7" spans="2:18" ht="15" x14ac:dyDescent="0.25">
      <c r="B7" s="224" t="s">
        <v>422</v>
      </c>
      <c r="C7" s="224"/>
      <c r="D7" s="224"/>
      <c r="E7" s="224"/>
      <c r="F7" s="224"/>
      <c r="G7" s="224"/>
    </row>
    <row r="8" spans="2:18" ht="45" customHeight="1" thickBot="1" x14ac:dyDescent="0.3">
      <c r="B8" s="110" t="s">
        <v>197</v>
      </c>
      <c r="C8" s="111" t="s">
        <v>423</v>
      </c>
      <c r="D8" s="111" t="s">
        <v>424</v>
      </c>
      <c r="E8" s="111" t="s">
        <v>425</v>
      </c>
      <c r="F8" s="111" t="s">
        <v>199</v>
      </c>
      <c r="G8" s="111" t="s">
        <v>200</v>
      </c>
    </row>
    <row r="9" spans="2:18" ht="15" thickTop="1" x14ac:dyDescent="0.2">
      <c r="B9" s="112">
        <v>2014</v>
      </c>
      <c r="C9" s="113">
        <v>7</v>
      </c>
      <c r="D9" s="113">
        <v>37990</v>
      </c>
      <c r="E9" s="127">
        <v>18.425901553040301</v>
      </c>
      <c r="F9" s="118"/>
      <c r="G9" s="118"/>
    </row>
    <row r="10" spans="2:18" x14ac:dyDescent="0.2">
      <c r="B10" s="114">
        <v>2015</v>
      </c>
      <c r="C10" s="115">
        <v>8</v>
      </c>
      <c r="D10" s="115">
        <v>38190</v>
      </c>
      <c r="E10" s="128">
        <v>20.9478921183556</v>
      </c>
      <c r="F10" s="119"/>
      <c r="G10" s="119">
        <v>0.136872030823327</v>
      </c>
    </row>
    <row r="11" spans="2:18" x14ac:dyDescent="0.2">
      <c r="B11" s="116">
        <v>2016</v>
      </c>
      <c r="C11" s="117">
        <v>15</v>
      </c>
      <c r="D11" s="117">
        <v>38608</v>
      </c>
      <c r="E11" s="129">
        <v>38.852051388313299</v>
      </c>
      <c r="F11" s="120"/>
      <c r="G11" s="120">
        <v>0.85469980314960603</v>
      </c>
    </row>
    <row r="12" spans="2:18" x14ac:dyDescent="0.2">
      <c r="B12" s="114">
        <v>2017</v>
      </c>
      <c r="C12" s="115">
        <v>7</v>
      </c>
      <c r="D12" s="115">
        <v>39092</v>
      </c>
      <c r="E12" s="128">
        <v>17.906477028548</v>
      </c>
      <c r="F12" s="119"/>
      <c r="G12" s="119">
        <v>-0.539111156587878</v>
      </c>
    </row>
    <row r="13" spans="2:18" x14ac:dyDescent="0.2">
      <c r="B13" s="116">
        <v>2018</v>
      </c>
      <c r="C13" s="117">
        <v>7</v>
      </c>
      <c r="D13" s="117">
        <v>39523</v>
      </c>
      <c r="E13" s="129">
        <v>17.711206133137701</v>
      </c>
      <c r="F13" s="120"/>
      <c r="G13" s="120">
        <v>-1.09050426334035E-2</v>
      </c>
    </row>
    <row r="14" spans="2:18" x14ac:dyDescent="0.2">
      <c r="B14" s="114">
        <v>2019</v>
      </c>
      <c r="C14" s="115">
        <v>10</v>
      </c>
      <c r="D14" s="115">
        <v>39931</v>
      </c>
      <c r="E14" s="128">
        <v>25.043199519170599</v>
      </c>
      <c r="F14" s="119">
        <v>0.10079090977390499</v>
      </c>
      <c r="G14" s="119">
        <v>0.41397482085168402</v>
      </c>
    </row>
    <row r="15" spans="2:18" x14ac:dyDescent="0.2">
      <c r="B15" s="116">
        <v>2020</v>
      </c>
      <c r="C15" s="117">
        <v>6</v>
      </c>
      <c r="D15" s="117">
        <v>39838</v>
      </c>
      <c r="E15" s="129">
        <v>15.060997038003901</v>
      </c>
      <c r="F15" s="120">
        <v>-0.33798360633292102</v>
      </c>
      <c r="G15" s="120">
        <v>-0.39859932727546599</v>
      </c>
    </row>
    <row r="16" spans="2:18" x14ac:dyDescent="0.2">
      <c r="B16" s="114">
        <v>2021</v>
      </c>
      <c r="C16" s="115">
        <v>16</v>
      </c>
      <c r="D16" s="115">
        <v>39838</v>
      </c>
      <c r="E16" s="128">
        <v>40.162658768010402</v>
      </c>
      <c r="F16" s="119">
        <v>0.76537704977887699</v>
      </c>
      <c r="G16" s="119">
        <v>1.6666666666666701</v>
      </c>
    </row>
    <row r="17" spans="2:8" x14ac:dyDescent="0.2">
      <c r="B17" s="116">
        <v>2022</v>
      </c>
      <c r="C17" s="117">
        <v>11</v>
      </c>
      <c r="D17" s="117">
        <v>39838</v>
      </c>
      <c r="E17" s="129">
        <v>27.6118279030072</v>
      </c>
      <c r="F17" s="120">
        <v>0.21369672172297799</v>
      </c>
      <c r="G17" s="120">
        <v>-0.3125</v>
      </c>
    </row>
    <row r="18" spans="2:8" x14ac:dyDescent="0.2">
      <c r="B18" s="114">
        <v>2023</v>
      </c>
      <c r="C18" s="115">
        <v>9</v>
      </c>
      <c r="D18" s="115">
        <v>39838</v>
      </c>
      <c r="E18" s="128">
        <v>22.591495557005899</v>
      </c>
      <c r="F18" s="119">
        <v>-6.9754094993816403E-3</v>
      </c>
      <c r="G18" s="119">
        <v>-0.18181818181818199</v>
      </c>
    </row>
    <row r="19" spans="2:8" x14ac:dyDescent="0.2">
      <c r="B19" s="116">
        <v>2024</v>
      </c>
      <c r="C19" s="117">
        <v>10</v>
      </c>
      <c r="D19" s="117">
        <v>39838</v>
      </c>
      <c r="E19" s="129">
        <v>25.101661730006501</v>
      </c>
      <c r="F19" s="120">
        <v>0.103360656111798</v>
      </c>
      <c r="G19" s="120">
        <v>0.11111111111111099</v>
      </c>
    </row>
    <row r="20" spans="2:8" ht="30" x14ac:dyDescent="0.25">
      <c r="B20" s="15" t="s">
        <v>202</v>
      </c>
      <c r="C20" s="16">
        <v>8.8000000000000007</v>
      </c>
      <c r="D20" s="16">
        <v>38681</v>
      </c>
      <c r="E20" s="23">
        <v>22.7501874305214</v>
      </c>
      <c r="F20" s="14"/>
      <c r="G20" s="14"/>
    </row>
    <row r="21" spans="2:8" x14ac:dyDescent="0.2">
      <c r="B21" s="9" t="s">
        <v>427</v>
      </c>
    </row>
    <row r="22" spans="2:8" x14ac:dyDescent="0.2">
      <c r="B22" s="9" t="s">
        <v>428</v>
      </c>
    </row>
    <row r="23" spans="2:8" x14ac:dyDescent="0.2">
      <c r="B23" s="9" t="s">
        <v>429</v>
      </c>
    </row>
    <row r="25" spans="2:8" x14ac:dyDescent="0.2">
      <c r="B25" t="s">
        <v>442</v>
      </c>
    </row>
    <row r="26" spans="2:8" ht="30" customHeight="1" x14ac:dyDescent="0.25">
      <c r="B26" s="222" t="s">
        <v>443</v>
      </c>
      <c r="C26" s="223"/>
      <c r="D26" s="223"/>
      <c r="E26" s="223"/>
      <c r="F26" s="223"/>
      <c r="G26" s="223"/>
      <c r="H26" s="223"/>
    </row>
    <row r="27" spans="2:8" x14ac:dyDescent="0.2">
      <c r="B27" t="s">
        <v>196</v>
      </c>
    </row>
    <row r="29" spans="2:8" ht="15" x14ac:dyDescent="0.25">
      <c r="B29" s="224" t="s">
        <v>432</v>
      </c>
      <c r="C29" s="224"/>
      <c r="D29" s="224"/>
      <c r="E29" s="224"/>
      <c r="F29" s="224"/>
      <c r="G29" s="224"/>
    </row>
    <row r="30" spans="2:8" ht="45" customHeight="1" thickBot="1" x14ac:dyDescent="0.3">
      <c r="B30" s="110" t="s">
        <v>197</v>
      </c>
      <c r="C30" s="111" t="s">
        <v>423</v>
      </c>
      <c r="D30" s="111" t="s">
        <v>424</v>
      </c>
      <c r="E30" s="111" t="s">
        <v>425</v>
      </c>
      <c r="F30" s="111" t="s">
        <v>199</v>
      </c>
      <c r="G30" s="111" t="s">
        <v>200</v>
      </c>
    </row>
    <row r="31" spans="2:8" ht="15" thickTop="1" x14ac:dyDescent="0.2">
      <c r="B31" s="112">
        <v>2014</v>
      </c>
      <c r="C31" s="113">
        <v>0</v>
      </c>
      <c r="D31" s="113">
        <v>31497</v>
      </c>
      <c r="E31" s="127">
        <v>0</v>
      </c>
      <c r="F31" s="118"/>
      <c r="G31" s="118"/>
    </row>
    <row r="32" spans="2:8" x14ac:dyDescent="0.2">
      <c r="B32" s="114">
        <v>2015</v>
      </c>
      <c r="C32" s="115">
        <v>1</v>
      </c>
      <c r="D32" s="115">
        <v>31574</v>
      </c>
      <c r="E32" s="128">
        <v>3.1671628555140301</v>
      </c>
      <c r="F32" s="119"/>
      <c r="G32" s="119" t="s">
        <v>301</v>
      </c>
    </row>
    <row r="33" spans="2:7" x14ac:dyDescent="0.2">
      <c r="B33" s="116">
        <v>2016</v>
      </c>
      <c r="C33" s="117">
        <v>3</v>
      </c>
      <c r="D33" s="117">
        <v>31625</v>
      </c>
      <c r="E33" s="129">
        <v>9.4861660079051404</v>
      </c>
      <c r="F33" s="120"/>
      <c r="G33" s="120" t="s">
        <v>301</v>
      </c>
    </row>
    <row r="34" spans="2:7" x14ac:dyDescent="0.2">
      <c r="B34" s="114">
        <v>2017</v>
      </c>
      <c r="C34" s="115">
        <v>2</v>
      </c>
      <c r="D34" s="115">
        <v>31808</v>
      </c>
      <c r="E34" s="128">
        <v>6.2877263581488902</v>
      </c>
      <c r="F34" s="119"/>
      <c r="G34" s="119" t="s">
        <v>301</v>
      </c>
    </row>
    <row r="35" spans="2:7" x14ac:dyDescent="0.2">
      <c r="B35" s="116">
        <v>2018</v>
      </c>
      <c r="C35" s="117">
        <v>1</v>
      </c>
      <c r="D35" s="117">
        <v>32224</v>
      </c>
      <c r="E35" s="129">
        <v>3.1032770605759699</v>
      </c>
      <c r="F35" s="120"/>
      <c r="G35" s="120" t="s">
        <v>301</v>
      </c>
    </row>
    <row r="36" spans="2:7" x14ac:dyDescent="0.2">
      <c r="B36" s="114">
        <v>2019</v>
      </c>
      <c r="C36" s="115">
        <v>2</v>
      </c>
      <c r="D36" s="115">
        <v>32391</v>
      </c>
      <c r="E36" s="128">
        <v>6.1745546602451302</v>
      </c>
      <c r="F36" s="119" t="s">
        <v>301</v>
      </c>
      <c r="G36" s="119" t="s">
        <v>301</v>
      </c>
    </row>
    <row r="37" spans="2:7" x14ac:dyDescent="0.2">
      <c r="B37" s="116">
        <v>2020</v>
      </c>
      <c r="C37" s="117">
        <v>2</v>
      </c>
      <c r="D37" s="117">
        <v>32339</v>
      </c>
      <c r="E37" s="129">
        <v>6.1844831318222599</v>
      </c>
      <c r="F37" s="120" t="s">
        <v>301</v>
      </c>
      <c r="G37" s="120" t="s">
        <v>301</v>
      </c>
    </row>
    <row r="38" spans="2:7" x14ac:dyDescent="0.2">
      <c r="B38" s="114">
        <v>2021</v>
      </c>
      <c r="C38" s="115">
        <v>0</v>
      </c>
      <c r="D38" s="115">
        <v>32339</v>
      </c>
      <c r="E38" s="128">
        <v>0</v>
      </c>
      <c r="F38" s="119" t="s">
        <v>301</v>
      </c>
      <c r="G38" s="119" t="s">
        <v>301</v>
      </c>
    </row>
    <row r="39" spans="2:7" x14ac:dyDescent="0.2">
      <c r="B39" s="116">
        <v>2022</v>
      </c>
      <c r="C39" s="117">
        <v>2</v>
      </c>
      <c r="D39" s="117">
        <v>32339</v>
      </c>
      <c r="E39" s="129">
        <v>6.1844831318222599</v>
      </c>
      <c r="F39" s="120" t="s">
        <v>301</v>
      </c>
      <c r="G39" s="120" t="s">
        <v>301</v>
      </c>
    </row>
    <row r="40" spans="2:7" x14ac:dyDescent="0.2">
      <c r="B40" s="114">
        <v>2023</v>
      </c>
      <c r="C40" s="115">
        <v>4</v>
      </c>
      <c r="D40" s="115">
        <v>32339</v>
      </c>
      <c r="E40" s="128">
        <v>12.3689662636445</v>
      </c>
      <c r="F40" s="119" t="s">
        <v>301</v>
      </c>
      <c r="G40" s="119" t="s">
        <v>301</v>
      </c>
    </row>
    <row r="41" spans="2:7" x14ac:dyDescent="0.2">
      <c r="B41" s="116">
        <v>2024</v>
      </c>
      <c r="C41" s="117">
        <v>1</v>
      </c>
      <c r="D41" s="117">
        <v>32339</v>
      </c>
      <c r="E41" s="129">
        <v>3.09224156591113</v>
      </c>
      <c r="F41" s="120" t="s">
        <v>301</v>
      </c>
      <c r="G41" s="120" t="s">
        <v>301</v>
      </c>
    </row>
    <row r="42" spans="2:7" ht="30" x14ac:dyDescent="0.25">
      <c r="B42" s="15" t="s">
        <v>202</v>
      </c>
      <c r="C42" s="16">
        <v>1.4</v>
      </c>
      <c r="D42" s="16">
        <v>31746</v>
      </c>
      <c r="E42" s="23">
        <v>4.4100044100044098</v>
      </c>
      <c r="F42" s="14"/>
      <c r="G42" s="14"/>
    </row>
    <row r="43" spans="2:7" x14ac:dyDescent="0.2">
      <c r="B43" s="9" t="s">
        <v>427</v>
      </c>
    </row>
    <row r="44" spans="2:7" x14ac:dyDescent="0.2">
      <c r="B44" s="9" t="s">
        <v>428</v>
      </c>
    </row>
    <row r="45" spans="2:7" x14ac:dyDescent="0.2">
      <c r="B45" s="9" t="s">
        <v>429</v>
      </c>
    </row>
    <row r="47" spans="2:7" x14ac:dyDescent="0.2">
      <c r="B47" s="1" t="str">
        <f>HYPERLINK("#'Contents'!A1", "Return to Contents Page")</f>
        <v>Return to Contents Page</v>
      </c>
    </row>
    <row r="49" spans="2:18" ht="45" customHeight="1" x14ac:dyDescent="0.2"/>
    <row r="50" spans="2:18" x14ac:dyDescent="0.2">
      <c r="B50" t="s">
        <v>444</v>
      </c>
    </row>
    <row r="51" spans="2:18" ht="45" customHeight="1" x14ac:dyDescent="0.25">
      <c r="B51" s="222" t="s">
        <v>445</v>
      </c>
      <c r="C51" s="223"/>
      <c r="D51" s="223"/>
      <c r="E51" s="223"/>
      <c r="F51" s="223"/>
      <c r="G51" s="223"/>
      <c r="H51" s="223"/>
      <c r="J51" s="222" t="s">
        <v>446</v>
      </c>
      <c r="K51" s="223"/>
      <c r="L51" s="223"/>
      <c r="M51" s="223"/>
      <c r="N51" s="223"/>
      <c r="O51" s="223"/>
      <c r="P51" s="223"/>
      <c r="Q51" s="223"/>
      <c r="R51" s="223"/>
    </row>
    <row r="52" spans="2:18" x14ac:dyDescent="0.2">
      <c r="B52" t="s">
        <v>196</v>
      </c>
    </row>
    <row r="54" spans="2:18" ht="15" x14ac:dyDescent="0.25">
      <c r="B54" s="224" t="s">
        <v>422</v>
      </c>
      <c r="C54" s="224"/>
      <c r="D54" s="224"/>
      <c r="E54" s="224"/>
      <c r="F54" s="224"/>
      <c r="G54" s="224"/>
    </row>
    <row r="55" spans="2:18" ht="45.75" thickBot="1" x14ac:dyDescent="0.3">
      <c r="B55" s="110" t="s">
        <v>197</v>
      </c>
      <c r="C55" s="111" t="s">
        <v>423</v>
      </c>
      <c r="D55" s="111" t="s">
        <v>424</v>
      </c>
      <c r="E55" s="111" t="s">
        <v>425</v>
      </c>
      <c r="F55" s="111" t="s">
        <v>199</v>
      </c>
      <c r="G55" s="111" t="s">
        <v>200</v>
      </c>
    </row>
    <row r="56" spans="2:18" ht="15" thickTop="1" x14ac:dyDescent="0.2">
      <c r="B56" s="112" t="s">
        <v>207</v>
      </c>
      <c r="C56" s="113">
        <v>8.8000000000000007</v>
      </c>
      <c r="D56" s="113">
        <v>38681</v>
      </c>
      <c r="E56" s="127">
        <v>22.7501874305214</v>
      </c>
      <c r="F56" s="118"/>
      <c r="G56" s="118"/>
    </row>
    <row r="57" spans="2:18" x14ac:dyDescent="0.2">
      <c r="B57" s="114" t="s">
        <v>208</v>
      </c>
      <c r="C57" s="115">
        <v>9.4</v>
      </c>
      <c r="D57" s="115">
        <v>39069</v>
      </c>
      <c r="E57" s="128">
        <v>24.059996416596299</v>
      </c>
      <c r="F57" s="119">
        <v>5.75735470345006E-2</v>
      </c>
      <c r="G57" s="119">
        <v>5.75735470345006E-2</v>
      </c>
    </row>
    <row r="58" spans="2:18" x14ac:dyDescent="0.2">
      <c r="B58" s="116" t="s">
        <v>209</v>
      </c>
      <c r="C58" s="117">
        <v>9</v>
      </c>
      <c r="D58" s="117">
        <v>39398</v>
      </c>
      <c r="E58" s="129">
        <v>22.8437991776232</v>
      </c>
      <c r="F58" s="120">
        <v>4.11476817005005E-3</v>
      </c>
      <c r="G58" s="120">
        <v>-5.0548521201529799E-2</v>
      </c>
    </row>
    <row r="59" spans="2:18" x14ac:dyDescent="0.2">
      <c r="B59" s="114" t="s">
        <v>210</v>
      </c>
      <c r="C59" s="115">
        <v>9.1999999999999993</v>
      </c>
      <c r="D59" s="115">
        <v>39644</v>
      </c>
      <c r="E59" s="128">
        <v>23.206538189890001</v>
      </c>
      <c r="F59" s="119">
        <v>2.00592087762906E-2</v>
      </c>
      <c r="G59" s="119">
        <v>1.5879101783652198E-2</v>
      </c>
    </row>
    <row r="60" spans="2:18" x14ac:dyDescent="0.2">
      <c r="B60" s="116" t="s">
        <v>211</v>
      </c>
      <c r="C60" s="117">
        <v>10</v>
      </c>
      <c r="D60" s="117">
        <v>39794</v>
      </c>
      <c r="E60" s="129">
        <v>25.129416494949002</v>
      </c>
      <c r="F60" s="120">
        <v>0.10458063572854701</v>
      </c>
      <c r="G60" s="120">
        <v>8.2859334267127993E-2</v>
      </c>
    </row>
    <row r="61" spans="2:18" x14ac:dyDescent="0.2">
      <c r="B61" s="114" t="s">
        <v>212</v>
      </c>
      <c r="C61" s="115">
        <v>10.4</v>
      </c>
      <c r="D61" s="115">
        <v>39857</v>
      </c>
      <c r="E61" s="128">
        <v>26.0932834884713</v>
      </c>
      <c r="F61" s="119">
        <v>0.14694806661086099</v>
      </c>
      <c r="G61" s="119">
        <v>3.8356123140226399E-2</v>
      </c>
    </row>
    <row r="62" spans="2:18" x14ac:dyDescent="0.2">
      <c r="B62" s="116" t="s">
        <v>213</v>
      </c>
      <c r="C62" s="117">
        <v>10.4</v>
      </c>
      <c r="D62" s="117">
        <v>39857</v>
      </c>
      <c r="E62" s="129">
        <v>26.0932834884713</v>
      </c>
      <c r="F62" s="120">
        <v>0.14694806661086099</v>
      </c>
      <c r="G62" s="120">
        <v>0</v>
      </c>
    </row>
    <row r="63" spans="2:18" ht="30" customHeight="1" x14ac:dyDescent="0.25">
      <c r="B63" s="15" t="s">
        <v>202</v>
      </c>
      <c r="C63" s="16">
        <v>8.8000000000000007</v>
      </c>
      <c r="D63" s="16">
        <v>38681</v>
      </c>
      <c r="E63" s="23">
        <v>22.7501874305214</v>
      </c>
      <c r="F63" s="14"/>
      <c r="G63" s="14"/>
    </row>
    <row r="64" spans="2:18" x14ac:dyDescent="0.2">
      <c r="B64" s="9" t="s">
        <v>427</v>
      </c>
    </row>
    <row r="65" spans="2:8" x14ac:dyDescent="0.2">
      <c r="B65" s="9" t="s">
        <v>428</v>
      </c>
    </row>
    <row r="66" spans="2:8" x14ac:dyDescent="0.2">
      <c r="B66" s="9" t="s">
        <v>429</v>
      </c>
    </row>
    <row r="68" spans="2:8" x14ac:dyDescent="0.2">
      <c r="B68" t="s">
        <v>447</v>
      </c>
    </row>
    <row r="69" spans="2:8" ht="45" customHeight="1" x14ac:dyDescent="0.25">
      <c r="B69" s="222" t="s">
        <v>448</v>
      </c>
      <c r="C69" s="223"/>
      <c r="D69" s="223"/>
      <c r="E69" s="223"/>
      <c r="F69" s="223"/>
      <c r="G69" s="223"/>
      <c r="H69" s="223"/>
    </row>
    <row r="70" spans="2:8" x14ac:dyDescent="0.2">
      <c r="B70" t="s">
        <v>196</v>
      </c>
    </row>
    <row r="72" spans="2:8" ht="15" x14ac:dyDescent="0.25">
      <c r="B72" s="224" t="s">
        <v>432</v>
      </c>
      <c r="C72" s="224"/>
      <c r="D72" s="224"/>
      <c r="E72" s="224"/>
      <c r="F72" s="224"/>
      <c r="G72" s="224"/>
    </row>
    <row r="73" spans="2:8" ht="45" customHeight="1" thickBot="1" x14ac:dyDescent="0.3">
      <c r="B73" s="110" t="s">
        <v>197</v>
      </c>
      <c r="C73" s="111" t="s">
        <v>423</v>
      </c>
      <c r="D73" s="111" t="s">
        <v>424</v>
      </c>
      <c r="E73" s="111" t="s">
        <v>425</v>
      </c>
      <c r="F73" s="111" t="s">
        <v>199</v>
      </c>
      <c r="G73" s="111" t="s">
        <v>200</v>
      </c>
    </row>
    <row r="74" spans="2:8" ht="15" thickTop="1" x14ac:dyDescent="0.2">
      <c r="B74" s="112" t="s">
        <v>207</v>
      </c>
      <c r="C74" s="113">
        <v>1.4</v>
      </c>
      <c r="D74" s="113">
        <v>31746</v>
      </c>
      <c r="E74" s="127">
        <v>4.4100044100044098</v>
      </c>
      <c r="F74" s="118"/>
      <c r="G74" s="118"/>
    </row>
    <row r="75" spans="2:8" x14ac:dyDescent="0.2">
      <c r="B75" s="114" t="s">
        <v>208</v>
      </c>
      <c r="C75" s="115">
        <v>1.8</v>
      </c>
      <c r="D75" s="115">
        <v>31924</v>
      </c>
      <c r="E75" s="128">
        <v>5.6383911790502399</v>
      </c>
      <c r="F75" s="119" t="s">
        <v>301</v>
      </c>
      <c r="G75" s="119" t="s">
        <v>301</v>
      </c>
    </row>
    <row r="76" spans="2:8" x14ac:dyDescent="0.2">
      <c r="B76" s="116" t="s">
        <v>209</v>
      </c>
      <c r="C76" s="117">
        <v>2</v>
      </c>
      <c r="D76" s="117">
        <v>32077</v>
      </c>
      <c r="E76" s="129">
        <v>6.2349970383764104</v>
      </c>
      <c r="F76" s="120" t="s">
        <v>301</v>
      </c>
      <c r="G76" s="120" t="s">
        <v>301</v>
      </c>
    </row>
    <row r="77" spans="2:8" x14ac:dyDescent="0.2">
      <c r="B77" s="114" t="s">
        <v>210</v>
      </c>
      <c r="C77" s="115">
        <v>1.4</v>
      </c>
      <c r="D77" s="115">
        <v>32220</v>
      </c>
      <c r="E77" s="128">
        <v>4.3451272501551799</v>
      </c>
      <c r="F77" s="119" t="s">
        <v>301</v>
      </c>
      <c r="G77" s="119" t="s">
        <v>301</v>
      </c>
    </row>
    <row r="78" spans="2:8" x14ac:dyDescent="0.2">
      <c r="B78" s="116" t="s">
        <v>211</v>
      </c>
      <c r="C78" s="117">
        <v>1.4</v>
      </c>
      <c r="D78" s="117">
        <v>32326</v>
      </c>
      <c r="E78" s="129">
        <v>4.3308791684712</v>
      </c>
      <c r="F78" s="120" t="s">
        <v>301</v>
      </c>
      <c r="G78" s="120" t="s">
        <v>301</v>
      </c>
    </row>
    <row r="79" spans="2:8" x14ac:dyDescent="0.2">
      <c r="B79" s="114" t="s">
        <v>212</v>
      </c>
      <c r="C79" s="115">
        <v>2</v>
      </c>
      <c r="D79" s="115">
        <v>32349</v>
      </c>
      <c r="E79" s="128">
        <v>6.1825713314167396</v>
      </c>
      <c r="F79" s="119" t="s">
        <v>301</v>
      </c>
      <c r="G79" s="119" t="s">
        <v>301</v>
      </c>
    </row>
    <row r="80" spans="2:8" x14ac:dyDescent="0.2">
      <c r="B80" s="116" t="s">
        <v>213</v>
      </c>
      <c r="C80" s="117">
        <v>1.8</v>
      </c>
      <c r="D80" s="117">
        <v>32349</v>
      </c>
      <c r="E80" s="129">
        <v>5.5643141982750599</v>
      </c>
      <c r="F80" s="120" t="s">
        <v>301</v>
      </c>
      <c r="G80" s="120" t="s">
        <v>301</v>
      </c>
    </row>
    <row r="81" spans="2:7" ht="30" customHeight="1" x14ac:dyDescent="0.25">
      <c r="B81" s="15" t="s">
        <v>202</v>
      </c>
      <c r="C81" s="16">
        <v>1.4</v>
      </c>
      <c r="D81" s="16">
        <v>31746</v>
      </c>
      <c r="E81" s="23">
        <v>4.4100044100044098</v>
      </c>
      <c r="F81" s="14"/>
      <c r="G81" s="14"/>
    </row>
    <row r="82" spans="2:7" x14ac:dyDescent="0.2">
      <c r="B82" s="9" t="s">
        <v>427</v>
      </c>
    </row>
    <row r="83" spans="2:7" x14ac:dyDescent="0.2">
      <c r="B83" s="9" t="s">
        <v>428</v>
      </c>
    </row>
    <row r="84" spans="2:7" x14ac:dyDescent="0.2">
      <c r="B84" s="9" t="s">
        <v>429</v>
      </c>
    </row>
    <row r="86" spans="2:7" x14ac:dyDescent="0.2">
      <c r="B86" s="1" t="str">
        <f>HYPERLINK("#'Contents'!A1", "Return to Contents Page")</f>
        <v>Return to Contents Page</v>
      </c>
    </row>
  </sheetData>
  <mergeCells count="10">
    <mergeCell ref="B51:H51"/>
    <mergeCell ref="B54:G54"/>
    <mergeCell ref="J51:R51"/>
    <mergeCell ref="B72:G72"/>
    <mergeCell ref="B69:H69"/>
    <mergeCell ref="B7:G7"/>
    <mergeCell ref="J4:R4"/>
    <mergeCell ref="B4:H4"/>
    <mergeCell ref="B29:G29"/>
    <mergeCell ref="B26:H26"/>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R86"/>
  <sheetViews>
    <sheetView showGridLines="0" workbookViewId="0"/>
  </sheetViews>
  <sheetFormatPr defaultColWidth="11" defaultRowHeight="14.25" x14ac:dyDescent="0.2"/>
  <cols>
    <col min="4" max="4" width="13.25" customWidth="1"/>
    <col min="6" max="7" width="12.5" customWidth="1"/>
  </cols>
  <sheetData>
    <row r="1" spans="2:18" ht="15" x14ac:dyDescent="0.25">
      <c r="B1" s="6" t="s">
        <v>449</v>
      </c>
    </row>
    <row r="3" spans="2:18" x14ac:dyDescent="0.2">
      <c r="B3" t="s">
        <v>450</v>
      </c>
    </row>
    <row r="4" spans="2:18" ht="30" customHeight="1" x14ac:dyDescent="0.25">
      <c r="B4" s="222" t="s">
        <v>451</v>
      </c>
      <c r="C4" s="223"/>
      <c r="D4" s="223"/>
      <c r="E4" s="223"/>
      <c r="F4" s="223"/>
      <c r="G4" s="223"/>
      <c r="J4" s="222" t="s">
        <v>452</v>
      </c>
      <c r="K4" s="223"/>
      <c r="L4" s="223"/>
      <c r="M4" s="223"/>
      <c r="N4" s="223"/>
      <c r="O4" s="223"/>
      <c r="P4" s="223"/>
      <c r="Q4" s="223"/>
      <c r="R4" s="223"/>
    </row>
    <row r="5" spans="2:18" x14ac:dyDescent="0.2">
      <c r="B5" t="s">
        <v>196</v>
      </c>
    </row>
    <row r="7" spans="2:18" ht="15" x14ac:dyDescent="0.25">
      <c r="B7" s="224" t="s">
        <v>422</v>
      </c>
      <c r="C7" s="224"/>
      <c r="D7" s="224"/>
      <c r="E7" s="224"/>
      <c r="F7" s="224"/>
      <c r="G7" s="224"/>
    </row>
    <row r="8" spans="2:18" ht="45" customHeight="1" thickBot="1" x14ac:dyDescent="0.3">
      <c r="B8" s="110" t="s">
        <v>197</v>
      </c>
      <c r="C8" s="111" t="s">
        <v>423</v>
      </c>
      <c r="D8" s="111" t="s">
        <v>424</v>
      </c>
      <c r="E8" s="111" t="s">
        <v>425</v>
      </c>
      <c r="F8" s="111" t="s">
        <v>199</v>
      </c>
      <c r="G8" s="111" t="s">
        <v>200</v>
      </c>
    </row>
    <row r="9" spans="2:18" ht="15" thickTop="1" x14ac:dyDescent="0.2">
      <c r="B9" s="112">
        <v>2014</v>
      </c>
      <c r="C9" s="113">
        <v>27</v>
      </c>
      <c r="D9" s="113">
        <v>165177</v>
      </c>
      <c r="E9" s="127">
        <v>16.346101454803001</v>
      </c>
      <c r="F9" s="118"/>
      <c r="G9" s="118"/>
    </row>
    <row r="10" spans="2:18" x14ac:dyDescent="0.2">
      <c r="B10" s="114">
        <v>2015</v>
      </c>
      <c r="C10" s="115">
        <v>24</v>
      </c>
      <c r="D10" s="115">
        <v>166098</v>
      </c>
      <c r="E10" s="128">
        <v>14.4493010150634</v>
      </c>
      <c r="F10" s="119"/>
      <c r="G10" s="119">
        <v>-0.11603992823513801</v>
      </c>
    </row>
    <row r="11" spans="2:18" x14ac:dyDescent="0.2">
      <c r="B11" s="116">
        <v>2016</v>
      </c>
      <c r="C11" s="117">
        <v>32</v>
      </c>
      <c r="D11" s="117">
        <v>166949</v>
      </c>
      <c r="E11" s="129">
        <v>19.167530203834701</v>
      </c>
      <c r="F11" s="120"/>
      <c r="G11" s="120">
        <v>0.32653684658188997</v>
      </c>
    </row>
    <row r="12" spans="2:18" x14ac:dyDescent="0.2">
      <c r="B12" s="114">
        <v>2017</v>
      </c>
      <c r="C12" s="115">
        <v>26</v>
      </c>
      <c r="D12" s="115">
        <v>167787</v>
      </c>
      <c r="E12" s="128">
        <v>15.4958369837949</v>
      </c>
      <c r="F12" s="119"/>
      <c r="G12" s="119">
        <v>-0.191557972310131</v>
      </c>
    </row>
    <row r="13" spans="2:18" x14ac:dyDescent="0.2">
      <c r="B13" s="116">
        <v>2018</v>
      </c>
      <c r="C13" s="117">
        <v>23</v>
      </c>
      <c r="D13" s="117">
        <v>168744</v>
      </c>
      <c r="E13" s="129">
        <v>13.6301142559143</v>
      </c>
      <c r="F13" s="120"/>
      <c r="G13" s="120">
        <v>-0.120401545901119</v>
      </c>
    </row>
    <row r="14" spans="2:18" x14ac:dyDescent="0.2">
      <c r="B14" s="114">
        <v>2019</v>
      </c>
      <c r="C14" s="115">
        <v>28</v>
      </c>
      <c r="D14" s="115">
        <v>169933</v>
      </c>
      <c r="E14" s="128">
        <v>16.477082144139199</v>
      </c>
      <c r="F14" s="119">
        <v>4.1994447365976101E-2</v>
      </c>
      <c r="G14" s="119">
        <v>0.20887336927418201</v>
      </c>
    </row>
    <row r="15" spans="2:18" x14ac:dyDescent="0.2">
      <c r="B15" s="116">
        <v>2020</v>
      </c>
      <c r="C15" s="117">
        <v>25</v>
      </c>
      <c r="D15" s="117">
        <v>169495</v>
      </c>
      <c r="E15" s="129">
        <v>14.7496976311986</v>
      </c>
      <c r="F15" s="120">
        <v>-6.72436480203671E-2</v>
      </c>
      <c r="G15" s="120">
        <v>-0.104835583013405</v>
      </c>
    </row>
    <row r="16" spans="2:18" x14ac:dyDescent="0.2">
      <c r="B16" s="114">
        <v>2021</v>
      </c>
      <c r="C16" s="115">
        <v>29</v>
      </c>
      <c r="D16" s="115">
        <v>169495</v>
      </c>
      <c r="E16" s="128">
        <v>17.109649252190302</v>
      </c>
      <c r="F16" s="119">
        <v>8.1997368296374204E-2</v>
      </c>
      <c r="G16" s="119">
        <v>0.16</v>
      </c>
    </row>
    <row r="17" spans="2:7" x14ac:dyDescent="0.2">
      <c r="B17" s="116">
        <v>2022</v>
      </c>
      <c r="C17" s="117">
        <v>39</v>
      </c>
      <c r="D17" s="117">
        <v>169495</v>
      </c>
      <c r="E17" s="129">
        <v>23.0095283046698</v>
      </c>
      <c r="F17" s="120">
        <v>0.45509990908822701</v>
      </c>
      <c r="G17" s="120">
        <v>0.34482758620689702</v>
      </c>
    </row>
    <row r="18" spans="2:7" x14ac:dyDescent="0.2">
      <c r="B18" s="114">
        <v>2023</v>
      </c>
      <c r="C18" s="115">
        <v>21</v>
      </c>
      <c r="D18" s="115">
        <v>169495</v>
      </c>
      <c r="E18" s="128">
        <v>12.3897460102068</v>
      </c>
      <c r="F18" s="119">
        <v>-0.216484664337108</v>
      </c>
      <c r="G18" s="119">
        <v>-0.46153846153846101</v>
      </c>
    </row>
    <row r="19" spans="2:7" x14ac:dyDescent="0.2">
      <c r="B19" s="116">
        <v>2024</v>
      </c>
      <c r="C19" s="117">
        <v>28</v>
      </c>
      <c r="D19" s="117">
        <v>169495</v>
      </c>
      <c r="E19" s="129">
        <v>16.519661346942399</v>
      </c>
      <c r="F19" s="120">
        <v>4.4687114217188899E-2</v>
      </c>
      <c r="G19" s="120">
        <v>0.33333333333333298</v>
      </c>
    </row>
    <row r="20" spans="2:7" ht="30" x14ac:dyDescent="0.25">
      <c r="B20" s="15" t="s">
        <v>202</v>
      </c>
      <c r="C20" s="16">
        <v>26.4</v>
      </c>
      <c r="D20" s="16">
        <v>166951</v>
      </c>
      <c r="E20" s="23">
        <v>15.8130229827914</v>
      </c>
      <c r="F20" s="14"/>
      <c r="G20" s="14"/>
    </row>
    <row r="21" spans="2:7" x14ac:dyDescent="0.2">
      <c r="B21" s="9" t="s">
        <v>427</v>
      </c>
    </row>
    <row r="22" spans="2:7" x14ac:dyDescent="0.2">
      <c r="B22" s="9" t="s">
        <v>428</v>
      </c>
    </row>
    <row r="23" spans="2:7" ht="25.5" customHeight="1" x14ac:dyDescent="0.2">
      <c r="B23" s="230" t="s">
        <v>453</v>
      </c>
      <c r="C23" s="223"/>
      <c r="D23" s="223"/>
      <c r="E23" s="223"/>
      <c r="F23" s="223"/>
      <c r="G23" s="223"/>
    </row>
    <row r="25" spans="2:7" x14ac:dyDescent="0.2">
      <c r="B25" t="s">
        <v>454</v>
      </c>
    </row>
    <row r="26" spans="2:7" ht="30" customHeight="1" x14ac:dyDescent="0.25">
      <c r="B26" s="222" t="s">
        <v>455</v>
      </c>
      <c r="C26" s="223"/>
      <c r="D26" s="223"/>
      <c r="E26" s="223"/>
      <c r="F26" s="223"/>
      <c r="G26" s="223"/>
    </row>
    <row r="27" spans="2:7" x14ac:dyDescent="0.2">
      <c r="B27" t="s">
        <v>196</v>
      </c>
    </row>
    <row r="29" spans="2:7" ht="15" x14ac:dyDescent="0.25">
      <c r="B29" s="224" t="s">
        <v>432</v>
      </c>
      <c r="C29" s="224"/>
      <c r="D29" s="224"/>
      <c r="E29" s="224"/>
      <c r="F29" s="224"/>
      <c r="G29" s="224"/>
    </row>
    <row r="30" spans="2:7" ht="45" customHeight="1" thickBot="1" x14ac:dyDescent="0.3">
      <c r="B30" s="110" t="s">
        <v>197</v>
      </c>
      <c r="C30" s="111" t="s">
        <v>423</v>
      </c>
      <c r="D30" s="111" t="s">
        <v>424</v>
      </c>
      <c r="E30" s="111" t="s">
        <v>425</v>
      </c>
      <c r="F30" s="111" t="s">
        <v>199</v>
      </c>
      <c r="G30" s="111" t="s">
        <v>200</v>
      </c>
    </row>
    <row r="31" spans="2:7" ht="15" thickTop="1" x14ac:dyDescent="0.2">
      <c r="B31" s="112">
        <v>2014</v>
      </c>
      <c r="C31" s="113">
        <v>8</v>
      </c>
      <c r="D31" s="113">
        <v>177020</v>
      </c>
      <c r="E31" s="127">
        <v>4.5192633600723102</v>
      </c>
      <c r="F31" s="118"/>
      <c r="G31" s="118"/>
    </row>
    <row r="32" spans="2:7" x14ac:dyDescent="0.2">
      <c r="B32" s="114">
        <v>2015</v>
      </c>
      <c r="C32" s="115">
        <v>13</v>
      </c>
      <c r="D32" s="115">
        <v>177550</v>
      </c>
      <c r="E32" s="128">
        <v>7.3218811602365497</v>
      </c>
      <c r="F32" s="119"/>
      <c r="G32" s="119" t="s">
        <v>301</v>
      </c>
    </row>
    <row r="33" spans="2:7" x14ac:dyDescent="0.2">
      <c r="B33" s="116">
        <v>2016</v>
      </c>
      <c r="C33" s="117">
        <v>9</v>
      </c>
      <c r="D33" s="117">
        <v>178091</v>
      </c>
      <c r="E33" s="129">
        <v>5.0535961952035802</v>
      </c>
      <c r="F33" s="120"/>
      <c r="G33" s="120" t="s">
        <v>301</v>
      </c>
    </row>
    <row r="34" spans="2:7" x14ac:dyDescent="0.2">
      <c r="B34" s="114">
        <v>2017</v>
      </c>
      <c r="C34" s="115">
        <v>13</v>
      </c>
      <c r="D34" s="115">
        <v>178492</v>
      </c>
      <c r="E34" s="128">
        <v>7.2832395849673901</v>
      </c>
      <c r="F34" s="119"/>
      <c r="G34" s="119" t="s">
        <v>301</v>
      </c>
    </row>
    <row r="35" spans="2:7" x14ac:dyDescent="0.2">
      <c r="B35" s="116">
        <v>2018</v>
      </c>
      <c r="C35" s="117">
        <v>5</v>
      </c>
      <c r="D35" s="117">
        <v>179977</v>
      </c>
      <c r="E35" s="129">
        <v>2.7781327614084002</v>
      </c>
      <c r="F35" s="120"/>
      <c r="G35" s="120" t="s">
        <v>301</v>
      </c>
    </row>
    <row r="36" spans="2:7" x14ac:dyDescent="0.2">
      <c r="B36" s="114">
        <v>2019</v>
      </c>
      <c r="C36" s="115">
        <v>18</v>
      </c>
      <c r="D36" s="115">
        <v>180739</v>
      </c>
      <c r="E36" s="128">
        <v>9.95911231112267</v>
      </c>
      <c r="F36" s="119" t="s">
        <v>301</v>
      </c>
      <c r="G36" s="119" t="s">
        <v>301</v>
      </c>
    </row>
    <row r="37" spans="2:7" x14ac:dyDescent="0.2">
      <c r="B37" s="116">
        <v>2020</v>
      </c>
      <c r="C37" s="117">
        <v>10</v>
      </c>
      <c r="D37" s="117">
        <v>180785</v>
      </c>
      <c r="E37" s="129">
        <v>5.5314323644107599</v>
      </c>
      <c r="F37" s="120" t="s">
        <v>301</v>
      </c>
      <c r="G37" s="120" t="s">
        <v>301</v>
      </c>
    </row>
    <row r="38" spans="2:7" x14ac:dyDescent="0.2">
      <c r="B38" s="114">
        <v>2021</v>
      </c>
      <c r="C38" s="115">
        <v>14</v>
      </c>
      <c r="D38" s="115">
        <v>180785</v>
      </c>
      <c r="E38" s="128">
        <v>7.7440053101750701</v>
      </c>
      <c r="F38" s="119" t="s">
        <v>301</v>
      </c>
      <c r="G38" s="119" t="s">
        <v>301</v>
      </c>
    </row>
    <row r="39" spans="2:7" x14ac:dyDescent="0.2">
      <c r="B39" s="116">
        <v>2022</v>
      </c>
      <c r="C39" s="117">
        <v>15</v>
      </c>
      <c r="D39" s="117">
        <v>180785</v>
      </c>
      <c r="E39" s="129">
        <v>8.2971485466161496</v>
      </c>
      <c r="F39" s="120" t="s">
        <v>301</v>
      </c>
      <c r="G39" s="120" t="s">
        <v>301</v>
      </c>
    </row>
    <row r="40" spans="2:7" x14ac:dyDescent="0.2">
      <c r="B40" s="114">
        <v>2023</v>
      </c>
      <c r="C40" s="115">
        <v>10</v>
      </c>
      <c r="D40" s="115">
        <v>180785</v>
      </c>
      <c r="E40" s="128">
        <v>5.5314323644107599</v>
      </c>
      <c r="F40" s="119" t="s">
        <v>301</v>
      </c>
      <c r="G40" s="119" t="s">
        <v>301</v>
      </c>
    </row>
    <row r="41" spans="2:7" x14ac:dyDescent="0.2">
      <c r="B41" s="116">
        <v>2024</v>
      </c>
      <c r="C41" s="117">
        <v>8</v>
      </c>
      <c r="D41" s="117">
        <v>180785</v>
      </c>
      <c r="E41" s="129">
        <v>4.4251458915286097</v>
      </c>
      <c r="F41" s="120" t="s">
        <v>301</v>
      </c>
      <c r="G41" s="120" t="s">
        <v>301</v>
      </c>
    </row>
    <row r="42" spans="2:7" ht="30" x14ac:dyDescent="0.25">
      <c r="B42" s="15" t="s">
        <v>202</v>
      </c>
      <c r="C42" s="16">
        <v>9.6</v>
      </c>
      <c r="D42" s="16">
        <v>178226</v>
      </c>
      <c r="E42" s="23">
        <v>5.3864194898611899</v>
      </c>
      <c r="F42" s="14"/>
      <c r="G42" s="14"/>
    </row>
    <row r="43" spans="2:7" x14ac:dyDescent="0.2">
      <c r="B43" s="9" t="s">
        <v>427</v>
      </c>
    </row>
    <row r="44" spans="2:7" x14ac:dyDescent="0.2">
      <c r="B44" s="9" t="s">
        <v>428</v>
      </c>
    </row>
    <row r="45" spans="2:7" ht="25.5" customHeight="1" x14ac:dyDescent="0.2">
      <c r="B45" s="230" t="s">
        <v>453</v>
      </c>
      <c r="C45" s="223"/>
      <c r="D45" s="223"/>
      <c r="E45" s="223"/>
      <c r="F45" s="223"/>
      <c r="G45" s="223"/>
    </row>
    <row r="47" spans="2:7" x14ac:dyDescent="0.2">
      <c r="B47" s="1" t="str">
        <f>HYPERLINK("#'Contents'!A1", "Return to Contents Page")</f>
        <v>Return to Contents Page</v>
      </c>
    </row>
    <row r="49" spans="2:18" ht="45" customHeight="1" x14ac:dyDescent="0.2"/>
    <row r="50" spans="2:18" x14ac:dyDescent="0.2">
      <c r="B50" t="s">
        <v>456</v>
      </c>
    </row>
    <row r="51" spans="2:18" ht="45" customHeight="1" x14ac:dyDescent="0.25">
      <c r="B51" s="222" t="s">
        <v>457</v>
      </c>
      <c r="C51" s="223"/>
      <c r="D51" s="223"/>
      <c r="E51" s="223"/>
      <c r="F51" s="223"/>
      <c r="G51" s="223"/>
      <c r="J51" s="222" t="s">
        <v>458</v>
      </c>
      <c r="K51" s="223"/>
      <c r="L51" s="223"/>
      <c r="M51" s="223"/>
      <c r="N51" s="223"/>
      <c r="O51" s="223"/>
      <c r="P51" s="223"/>
      <c r="Q51" s="223"/>
      <c r="R51" s="223"/>
    </row>
    <row r="52" spans="2:18" x14ac:dyDescent="0.2">
      <c r="B52" t="s">
        <v>196</v>
      </c>
    </row>
    <row r="54" spans="2:18" ht="15" x14ac:dyDescent="0.25">
      <c r="B54" s="224" t="s">
        <v>422</v>
      </c>
      <c r="C54" s="224"/>
      <c r="D54" s="224"/>
      <c r="E54" s="224"/>
      <c r="F54" s="224"/>
      <c r="G54" s="224"/>
    </row>
    <row r="55" spans="2:18" ht="45.75" thickBot="1" x14ac:dyDescent="0.3">
      <c r="B55" s="110" t="s">
        <v>197</v>
      </c>
      <c r="C55" s="111" t="s">
        <v>423</v>
      </c>
      <c r="D55" s="111" t="s">
        <v>424</v>
      </c>
      <c r="E55" s="111" t="s">
        <v>425</v>
      </c>
      <c r="F55" s="111" t="s">
        <v>199</v>
      </c>
      <c r="G55" s="111" t="s">
        <v>200</v>
      </c>
    </row>
    <row r="56" spans="2:18" ht="15" thickTop="1" x14ac:dyDescent="0.2">
      <c r="B56" s="112" t="s">
        <v>207</v>
      </c>
      <c r="C56" s="113">
        <v>26.4</v>
      </c>
      <c r="D56" s="113">
        <v>166951</v>
      </c>
      <c r="E56" s="127">
        <v>15.8130229827914</v>
      </c>
      <c r="F56" s="118"/>
      <c r="G56" s="118"/>
    </row>
    <row r="57" spans="2:18" x14ac:dyDescent="0.2">
      <c r="B57" s="114" t="s">
        <v>208</v>
      </c>
      <c r="C57" s="115">
        <v>26.6</v>
      </c>
      <c r="D57" s="115">
        <v>167902</v>
      </c>
      <c r="E57" s="128">
        <v>15.842574835320599</v>
      </c>
      <c r="F57" s="119">
        <v>1.86883004985238E-3</v>
      </c>
      <c r="G57" s="119">
        <v>1.86883004985238E-3</v>
      </c>
    </row>
    <row r="58" spans="2:18" x14ac:dyDescent="0.2">
      <c r="B58" s="116" t="s">
        <v>209</v>
      </c>
      <c r="C58" s="117">
        <v>26.8</v>
      </c>
      <c r="D58" s="117">
        <v>168582</v>
      </c>
      <c r="E58" s="129">
        <v>15.897308134913599</v>
      </c>
      <c r="F58" s="120">
        <v>5.3301100121044996E-3</v>
      </c>
      <c r="G58" s="120">
        <v>3.4548234843077099E-3</v>
      </c>
    </row>
    <row r="59" spans="2:18" x14ac:dyDescent="0.2">
      <c r="B59" s="114" t="s">
        <v>210</v>
      </c>
      <c r="C59" s="115">
        <v>26.2</v>
      </c>
      <c r="D59" s="115">
        <v>169091</v>
      </c>
      <c r="E59" s="128">
        <v>15.4946153254756</v>
      </c>
      <c r="F59" s="119">
        <v>-2.0135786665347599E-2</v>
      </c>
      <c r="G59" s="119">
        <v>-2.5330880298756301E-2</v>
      </c>
    </row>
    <row r="60" spans="2:18" x14ac:dyDescent="0.2">
      <c r="B60" s="116" t="s">
        <v>211</v>
      </c>
      <c r="C60" s="117">
        <v>28.8</v>
      </c>
      <c r="D60" s="117">
        <v>169432</v>
      </c>
      <c r="E60" s="129">
        <v>16.9979696869541</v>
      </c>
      <c r="F60" s="120">
        <v>7.4934862578283107E-2</v>
      </c>
      <c r="G60" s="120">
        <v>9.7024310052194307E-2</v>
      </c>
    </row>
    <row r="61" spans="2:18" x14ac:dyDescent="0.2">
      <c r="B61" s="114" t="s">
        <v>212</v>
      </c>
      <c r="C61" s="115">
        <v>28.4</v>
      </c>
      <c r="D61" s="115">
        <v>169583</v>
      </c>
      <c r="E61" s="128">
        <v>16.746961664789499</v>
      </c>
      <c r="F61" s="119">
        <v>5.9061362461467398E-2</v>
      </c>
      <c r="G61" s="119">
        <v>-1.47669413928416E-2</v>
      </c>
    </row>
    <row r="62" spans="2:18" x14ac:dyDescent="0.2">
      <c r="B62" s="116" t="s">
        <v>213</v>
      </c>
      <c r="C62" s="117">
        <v>28.4</v>
      </c>
      <c r="D62" s="117">
        <v>169583</v>
      </c>
      <c r="E62" s="129">
        <v>16.746961664789499</v>
      </c>
      <c r="F62" s="120">
        <v>5.9061362461467398E-2</v>
      </c>
      <c r="G62" s="120">
        <v>0</v>
      </c>
    </row>
    <row r="63" spans="2:18" ht="30" customHeight="1" x14ac:dyDescent="0.25">
      <c r="B63" s="15" t="s">
        <v>202</v>
      </c>
      <c r="C63" s="16">
        <v>26.4</v>
      </c>
      <c r="D63" s="16">
        <v>166951</v>
      </c>
      <c r="E63" s="23">
        <v>15.8130229827914</v>
      </c>
      <c r="F63" s="14"/>
      <c r="G63" s="14"/>
    </row>
    <row r="64" spans="2:18" x14ac:dyDescent="0.2">
      <c r="B64" s="9" t="s">
        <v>427</v>
      </c>
    </row>
    <row r="65" spans="2:7" x14ac:dyDescent="0.2">
      <c r="B65" s="9" t="s">
        <v>428</v>
      </c>
    </row>
    <row r="66" spans="2:7" ht="25.5" customHeight="1" x14ac:dyDescent="0.2">
      <c r="B66" s="230" t="s">
        <v>453</v>
      </c>
      <c r="C66" s="223"/>
      <c r="D66" s="223"/>
      <c r="E66" s="223"/>
      <c r="F66" s="223"/>
      <c r="G66" s="223"/>
    </row>
    <row r="68" spans="2:7" x14ac:dyDescent="0.2">
      <c r="B68" t="s">
        <v>459</v>
      </c>
    </row>
    <row r="69" spans="2:7" ht="45" customHeight="1" x14ac:dyDescent="0.25">
      <c r="B69" s="222" t="s">
        <v>460</v>
      </c>
      <c r="C69" s="223"/>
      <c r="D69" s="223"/>
      <c r="E69" s="223"/>
      <c r="F69" s="223"/>
      <c r="G69" s="223"/>
    </row>
    <row r="70" spans="2:7" x14ac:dyDescent="0.2">
      <c r="B70" t="s">
        <v>196</v>
      </c>
    </row>
    <row r="72" spans="2:7" ht="15" x14ac:dyDescent="0.25">
      <c r="B72" s="224" t="s">
        <v>432</v>
      </c>
      <c r="C72" s="224"/>
      <c r="D72" s="224"/>
      <c r="E72" s="224"/>
      <c r="F72" s="224"/>
      <c r="G72" s="224"/>
    </row>
    <row r="73" spans="2:7" ht="45" customHeight="1" thickBot="1" x14ac:dyDescent="0.3">
      <c r="B73" s="110" t="s">
        <v>197</v>
      </c>
      <c r="C73" s="111" t="s">
        <v>423</v>
      </c>
      <c r="D73" s="111" t="s">
        <v>424</v>
      </c>
      <c r="E73" s="111" t="s">
        <v>425</v>
      </c>
      <c r="F73" s="111" t="s">
        <v>199</v>
      </c>
      <c r="G73" s="111" t="s">
        <v>200</v>
      </c>
    </row>
    <row r="74" spans="2:7" ht="15" thickTop="1" x14ac:dyDescent="0.2">
      <c r="B74" s="112" t="s">
        <v>207</v>
      </c>
      <c r="C74" s="113">
        <v>9.6</v>
      </c>
      <c r="D74" s="113">
        <v>178226</v>
      </c>
      <c r="E74" s="127">
        <v>5.3864194898611899</v>
      </c>
      <c r="F74" s="118"/>
      <c r="G74" s="118"/>
    </row>
    <row r="75" spans="2:7" x14ac:dyDescent="0.2">
      <c r="B75" s="114" t="s">
        <v>208</v>
      </c>
      <c r="C75" s="115">
        <v>11.6</v>
      </c>
      <c r="D75" s="115">
        <v>178970</v>
      </c>
      <c r="E75" s="128">
        <v>6.4815332178577396</v>
      </c>
      <c r="F75" s="119" t="s">
        <v>301</v>
      </c>
      <c r="G75" s="119" t="s">
        <v>301</v>
      </c>
    </row>
    <row r="76" spans="2:7" x14ac:dyDescent="0.2">
      <c r="B76" s="116" t="s">
        <v>209</v>
      </c>
      <c r="C76" s="117">
        <v>11</v>
      </c>
      <c r="D76" s="117">
        <v>179617</v>
      </c>
      <c r="E76" s="129">
        <v>6.1241419242053903</v>
      </c>
      <c r="F76" s="120" t="s">
        <v>301</v>
      </c>
      <c r="G76" s="120" t="s">
        <v>301</v>
      </c>
    </row>
    <row r="77" spans="2:7" x14ac:dyDescent="0.2">
      <c r="B77" s="114" t="s">
        <v>210</v>
      </c>
      <c r="C77" s="115">
        <v>12</v>
      </c>
      <c r="D77" s="115">
        <v>180156</v>
      </c>
      <c r="E77" s="128">
        <v>6.6608938919603</v>
      </c>
      <c r="F77" s="119" t="s">
        <v>301</v>
      </c>
      <c r="G77" s="119" t="s">
        <v>301</v>
      </c>
    </row>
    <row r="78" spans="2:7" x14ac:dyDescent="0.2">
      <c r="B78" s="116" t="s">
        <v>211</v>
      </c>
      <c r="C78" s="117">
        <v>12.4</v>
      </c>
      <c r="D78" s="117">
        <v>180614</v>
      </c>
      <c r="E78" s="129">
        <v>6.8654700078620703</v>
      </c>
      <c r="F78" s="120" t="s">
        <v>301</v>
      </c>
      <c r="G78" s="120" t="s">
        <v>301</v>
      </c>
    </row>
    <row r="79" spans="2:7" x14ac:dyDescent="0.2">
      <c r="B79" s="114" t="s">
        <v>212</v>
      </c>
      <c r="C79" s="115">
        <v>13.4</v>
      </c>
      <c r="D79" s="115">
        <v>180776</v>
      </c>
      <c r="E79" s="128">
        <v>7.4124883834137298</v>
      </c>
      <c r="F79" s="119" t="s">
        <v>301</v>
      </c>
      <c r="G79" s="119" t="s">
        <v>301</v>
      </c>
    </row>
    <row r="80" spans="2:7" x14ac:dyDescent="0.2">
      <c r="B80" s="116" t="s">
        <v>213</v>
      </c>
      <c r="C80" s="117">
        <v>11.4</v>
      </c>
      <c r="D80" s="117">
        <v>180776</v>
      </c>
      <c r="E80" s="129">
        <v>6.3061468336504802</v>
      </c>
      <c r="F80" s="120" t="s">
        <v>301</v>
      </c>
      <c r="G80" s="120" t="s">
        <v>301</v>
      </c>
    </row>
    <row r="81" spans="2:7" ht="30" customHeight="1" x14ac:dyDescent="0.25">
      <c r="B81" s="15" t="s">
        <v>202</v>
      </c>
      <c r="C81" s="16">
        <v>9.6</v>
      </c>
      <c r="D81" s="16">
        <v>178226</v>
      </c>
      <c r="E81" s="23">
        <v>5.3864194898611899</v>
      </c>
      <c r="F81" s="14"/>
      <c r="G81" s="14"/>
    </row>
    <row r="82" spans="2:7" x14ac:dyDescent="0.2">
      <c r="B82" s="9" t="s">
        <v>427</v>
      </c>
    </row>
    <row r="83" spans="2:7" x14ac:dyDescent="0.2">
      <c r="B83" s="9" t="s">
        <v>428</v>
      </c>
    </row>
    <row r="84" spans="2:7" ht="25.5" customHeight="1" x14ac:dyDescent="0.2">
      <c r="B84" s="230" t="s">
        <v>453</v>
      </c>
      <c r="C84" s="223"/>
      <c r="D84" s="223"/>
      <c r="E84" s="223"/>
      <c r="F84" s="223"/>
      <c r="G84" s="223"/>
    </row>
    <row r="86" spans="2:7" x14ac:dyDescent="0.2">
      <c r="B86" s="1" t="str">
        <f>HYPERLINK("#'Contents'!A1", "Return to Contents Page")</f>
        <v>Return to Contents Page</v>
      </c>
    </row>
  </sheetData>
  <mergeCells count="14">
    <mergeCell ref="B72:G72"/>
    <mergeCell ref="B69:G69"/>
    <mergeCell ref="B84:G84"/>
    <mergeCell ref="B45:G45"/>
    <mergeCell ref="B51:G51"/>
    <mergeCell ref="B54:G54"/>
    <mergeCell ref="J51:R51"/>
    <mergeCell ref="B66:G66"/>
    <mergeCell ref="B7:G7"/>
    <mergeCell ref="J4:R4"/>
    <mergeCell ref="B4:G4"/>
    <mergeCell ref="B23:G23"/>
    <mergeCell ref="B29:G29"/>
    <mergeCell ref="B26:G26"/>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R86"/>
  <sheetViews>
    <sheetView showGridLines="0" workbookViewId="0"/>
  </sheetViews>
  <sheetFormatPr defaultColWidth="11" defaultRowHeight="14.25" x14ac:dyDescent="0.2"/>
  <cols>
    <col min="4" max="4" width="13.25" customWidth="1"/>
    <col min="6" max="7" width="12.5" customWidth="1"/>
  </cols>
  <sheetData>
    <row r="1" spans="2:18" ht="15" x14ac:dyDescent="0.25">
      <c r="B1" s="6" t="s">
        <v>461</v>
      </c>
    </row>
    <row r="3" spans="2:18" x14ac:dyDescent="0.2">
      <c r="B3" t="s">
        <v>462</v>
      </c>
    </row>
    <row r="4" spans="2:18" ht="30" customHeight="1" x14ac:dyDescent="0.25">
      <c r="B4" s="222" t="s">
        <v>463</v>
      </c>
      <c r="C4" s="223"/>
      <c r="D4" s="223"/>
      <c r="E4" s="223"/>
      <c r="F4" s="223"/>
      <c r="G4" s="223"/>
      <c r="H4" s="223"/>
      <c r="J4" s="222" t="s">
        <v>464</v>
      </c>
      <c r="K4" s="223"/>
      <c r="L4" s="223"/>
      <c r="M4" s="223"/>
      <c r="N4" s="223"/>
      <c r="O4" s="223"/>
      <c r="P4" s="223"/>
      <c r="Q4" s="223"/>
      <c r="R4" s="223"/>
    </row>
    <row r="5" spans="2:18" x14ac:dyDescent="0.2">
      <c r="B5" t="s">
        <v>196</v>
      </c>
    </row>
    <row r="7" spans="2:18" ht="15" x14ac:dyDescent="0.25">
      <c r="B7" s="224" t="s">
        <v>422</v>
      </c>
      <c r="C7" s="224"/>
      <c r="D7" s="224"/>
      <c r="E7" s="224"/>
      <c r="F7" s="224"/>
      <c r="G7" s="224"/>
    </row>
    <row r="8" spans="2:18" ht="45" customHeight="1" thickBot="1" x14ac:dyDescent="0.3">
      <c r="B8" s="110" t="s">
        <v>197</v>
      </c>
      <c r="C8" s="111" t="s">
        <v>423</v>
      </c>
      <c r="D8" s="111" t="s">
        <v>424</v>
      </c>
      <c r="E8" s="111" t="s">
        <v>425</v>
      </c>
      <c r="F8" s="111" t="s">
        <v>199</v>
      </c>
      <c r="G8" s="111" t="s">
        <v>200</v>
      </c>
    </row>
    <row r="9" spans="2:18" ht="15" thickTop="1" x14ac:dyDescent="0.2">
      <c r="B9" s="112">
        <v>2014</v>
      </c>
      <c r="C9" s="113">
        <v>7</v>
      </c>
      <c r="D9" s="113">
        <v>37990</v>
      </c>
      <c r="E9" s="127">
        <v>18.425901553040301</v>
      </c>
      <c r="F9" s="118"/>
      <c r="G9" s="118"/>
    </row>
    <row r="10" spans="2:18" x14ac:dyDescent="0.2">
      <c r="B10" s="114">
        <v>2015</v>
      </c>
      <c r="C10" s="115">
        <v>4</v>
      </c>
      <c r="D10" s="115">
        <v>38190</v>
      </c>
      <c r="E10" s="128">
        <v>10.4739460591778</v>
      </c>
      <c r="F10" s="119"/>
      <c r="G10" s="119">
        <v>-0.431563984588337</v>
      </c>
    </row>
    <row r="11" spans="2:18" x14ac:dyDescent="0.2">
      <c r="B11" s="116">
        <v>2016</v>
      </c>
      <c r="C11" s="117">
        <v>14</v>
      </c>
      <c r="D11" s="117">
        <v>38608</v>
      </c>
      <c r="E11" s="129">
        <v>36.261914629092402</v>
      </c>
      <c r="F11" s="120"/>
      <c r="G11" s="120">
        <v>2.4621062992125999</v>
      </c>
    </row>
    <row r="12" spans="2:18" x14ac:dyDescent="0.2">
      <c r="B12" s="114">
        <v>2017</v>
      </c>
      <c r="C12" s="115">
        <v>8</v>
      </c>
      <c r="D12" s="115">
        <v>39092</v>
      </c>
      <c r="E12" s="128">
        <v>20.464545175483501</v>
      </c>
      <c r="F12" s="119"/>
      <c r="G12" s="119">
        <v>-0.43564631418923899</v>
      </c>
    </row>
    <row r="13" spans="2:18" x14ac:dyDescent="0.2">
      <c r="B13" s="116">
        <v>2018</v>
      </c>
      <c r="C13" s="117">
        <v>4</v>
      </c>
      <c r="D13" s="117">
        <v>39523</v>
      </c>
      <c r="E13" s="129">
        <v>10.1206892189358</v>
      </c>
      <c r="F13" s="120"/>
      <c r="G13" s="120">
        <v>-0.50545252131670204</v>
      </c>
    </row>
    <row r="14" spans="2:18" x14ac:dyDescent="0.2">
      <c r="B14" s="114">
        <v>2019</v>
      </c>
      <c r="C14" s="115">
        <v>9</v>
      </c>
      <c r="D14" s="115">
        <v>39931</v>
      </c>
      <c r="E14" s="128">
        <v>22.538879567253499</v>
      </c>
      <c r="F14" s="119">
        <v>0.178143784514775</v>
      </c>
      <c r="G14" s="119">
        <v>1.2270103428414001</v>
      </c>
    </row>
    <row r="15" spans="2:18" x14ac:dyDescent="0.2">
      <c r="B15" s="116">
        <v>2020</v>
      </c>
      <c r="C15" s="117">
        <v>7</v>
      </c>
      <c r="D15" s="117">
        <v>39838</v>
      </c>
      <c r="E15" s="129">
        <v>17.571163211004599</v>
      </c>
      <c r="F15" s="120">
        <v>-8.1526805182611198E-2</v>
      </c>
      <c r="G15" s="120">
        <v>-0.22040653535708499</v>
      </c>
    </row>
    <row r="16" spans="2:18" x14ac:dyDescent="0.2">
      <c r="B16" s="114">
        <v>2021</v>
      </c>
      <c r="C16" s="115">
        <v>13</v>
      </c>
      <c r="D16" s="115">
        <v>39838</v>
      </c>
      <c r="E16" s="128">
        <v>32.6321602490085</v>
      </c>
      <c r="F16" s="119">
        <v>0.705735933232294</v>
      </c>
      <c r="G16" s="119">
        <v>0.85714285714285698</v>
      </c>
    </row>
    <row r="17" spans="2:8" x14ac:dyDescent="0.2">
      <c r="B17" s="116">
        <v>2022</v>
      </c>
      <c r="C17" s="117">
        <v>13</v>
      </c>
      <c r="D17" s="117">
        <v>39838</v>
      </c>
      <c r="E17" s="129">
        <v>32.6321602490085</v>
      </c>
      <c r="F17" s="120">
        <v>0.705735933232294</v>
      </c>
      <c r="G17" s="120">
        <v>0</v>
      </c>
    </row>
    <row r="18" spans="2:8" x14ac:dyDescent="0.2">
      <c r="B18" s="114">
        <v>2023</v>
      </c>
      <c r="C18" s="115">
        <v>6</v>
      </c>
      <c r="D18" s="115">
        <v>39838</v>
      </c>
      <c r="E18" s="128">
        <v>15.060997038003901</v>
      </c>
      <c r="F18" s="119">
        <v>-0.21273726158509501</v>
      </c>
      <c r="G18" s="119">
        <v>-0.53846153846153799</v>
      </c>
    </row>
    <row r="19" spans="2:8" x14ac:dyDescent="0.2">
      <c r="B19" s="116">
        <v>2024</v>
      </c>
      <c r="C19" s="117">
        <v>9</v>
      </c>
      <c r="D19" s="117">
        <v>39838</v>
      </c>
      <c r="E19" s="129">
        <v>22.591495557005899</v>
      </c>
      <c r="F19" s="120">
        <v>0.180894107622357</v>
      </c>
      <c r="G19" s="120">
        <v>0.5</v>
      </c>
    </row>
    <row r="20" spans="2:8" ht="30" x14ac:dyDescent="0.25">
      <c r="B20" s="15" t="s">
        <v>202</v>
      </c>
      <c r="C20" s="16">
        <v>7.4</v>
      </c>
      <c r="D20" s="16">
        <v>38681</v>
      </c>
      <c r="E20" s="23">
        <v>19.1308394302112</v>
      </c>
      <c r="F20" s="14"/>
      <c r="G20" s="14"/>
    </row>
    <row r="21" spans="2:8" x14ac:dyDescent="0.2">
      <c r="B21" s="9" t="s">
        <v>427</v>
      </c>
    </row>
    <row r="22" spans="2:8" x14ac:dyDescent="0.2">
      <c r="B22" s="9" t="s">
        <v>428</v>
      </c>
    </row>
    <row r="23" spans="2:8" ht="25.5" customHeight="1" x14ac:dyDescent="0.2">
      <c r="B23" s="230" t="s">
        <v>453</v>
      </c>
      <c r="C23" s="223"/>
      <c r="D23" s="223"/>
      <c r="E23" s="223"/>
      <c r="F23" s="223"/>
      <c r="G23" s="223"/>
    </row>
    <row r="25" spans="2:8" x14ac:dyDescent="0.2">
      <c r="B25" t="s">
        <v>465</v>
      </c>
    </row>
    <row r="26" spans="2:8" ht="30" customHeight="1" x14ac:dyDescent="0.25">
      <c r="B26" s="222" t="s">
        <v>466</v>
      </c>
      <c r="C26" s="223"/>
      <c r="D26" s="223"/>
      <c r="E26" s="223"/>
      <c r="F26" s="223"/>
      <c r="G26" s="223"/>
      <c r="H26" s="223"/>
    </row>
    <row r="27" spans="2:8" x14ac:dyDescent="0.2">
      <c r="B27" t="s">
        <v>196</v>
      </c>
    </row>
    <row r="29" spans="2:8" ht="15" x14ac:dyDescent="0.25">
      <c r="B29" s="224" t="s">
        <v>432</v>
      </c>
      <c r="C29" s="224"/>
      <c r="D29" s="224"/>
      <c r="E29" s="224"/>
      <c r="F29" s="224"/>
      <c r="G29" s="224"/>
    </row>
    <row r="30" spans="2:8" ht="45" customHeight="1" thickBot="1" x14ac:dyDescent="0.3">
      <c r="B30" s="110" t="s">
        <v>197</v>
      </c>
      <c r="C30" s="111" t="s">
        <v>423</v>
      </c>
      <c r="D30" s="111" t="s">
        <v>424</v>
      </c>
      <c r="E30" s="111" t="s">
        <v>425</v>
      </c>
      <c r="F30" s="111" t="s">
        <v>199</v>
      </c>
      <c r="G30" s="111" t="s">
        <v>200</v>
      </c>
    </row>
    <row r="31" spans="2:8" ht="15" thickTop="1" x14ac:dyDescent="0.2">
      <c r="B31" s="112">
        <v>2014</v>
      </c>
      <c r="C31" s="113">
        <v>0</v>
      </c>
      <c r="D31" s="113">
        <v>31497</v>
      </c>
      <c r="E31" s="127">
        <v>0</v>
      </c>
      <c r="F31" s="118"/>
      <c r="G31" s="118"/>
    </row>
    <row r="32" spans="2:8" x14ac:dyDescent="0.2">
      <c r="B32" s="114">
        <v>2015</v>
      </c>
      <c r="C32" s="115">
        <v>2</v>
      </c>
      <c r="D32" s="115">
        <v>31574</v>
      </c>
      <c r="E32" s="128">
        <v>6.3343257110280602</v>
      </c>
      <c r="F32" s="119"/>
      <c r="G32" s="119" t="s">
        <v>301</v>
      </c>
    </row>
    <row r="33" spans="2:7" x14ac:dyDescent="0.2">
      <c r="B33" s="116">
        <v>2016</v>
      </c>
      <c r="C33" s="117">
        <v>2</v>
      </c>
      <c r="D33" s="117">
        <v>31625</v>
      </c>
      <c r="E33" s="129">
        <v>6.3241106719367597</v>
      </c>
      <c r="F33" s="120"/>
      <c r="G33" s="120" t="s">
        <v>301</v>
      </c>
    </row>
    <row r="34" spans="2:7" x14ac:dyDescent="0.2">
      <c r="B34" s="114">
        <v>2017</v>
      </c>
      <c r="C34" s="115">
        <v>2</v>
      </c>
      <c r="D34" s="115">
        <v>31808</v>
      </c>
      <c r="E34" s="128">
        <v>6.2877263581488902</v>
      </c>
      <c r="F34" s="119"/>
      <c r="G34" s="119" t="s">
        <v>301</v>
      </c>
    </row>
    <row r="35" spans="2:7" x14ac:dyDescent="0.2">
      <c r="B35" s="116">
        <v>2018</v>
      </c>
      <c r="C35" s="117">
        <v>1</v>
      </c>
      <c r="D35" s="117">
        <v>32224</v>
      </c>
      <c r="E35" s="129">
        <v>3.1032770605759699</v>
      </c>
      <c r="F35" s="120"/>
      <c r="G35" s="120" t="s">
        <v>301</v>
      </c>
    </row>
    <row r="36" spans="2:7" x14ac:dyDescent="0.2">
      <c r="B36" s="114">
        <v>2019</v>
      </c>
      <c r="C36" s="115">
        <v>3</v>
      </c>
      <c r="D36" s="115">
        <v>32391</v>
      </c>
      <c r="E36" s="128">
        <v>9.2618319903676998</v>
      </c>
      <c r="F36" s="119" t="s">
        <v>301</v>
      </c>
      <c r="G36" s="119" t="s">
        <v>301</v>
      </c>
    </row>
    <row r="37" spans="2:7" x14ac:dyDescent="0.2">
      <c r="B37" s="116">
        <v>2020</v>
      </c>
      <c r="C37" s="117">
        <v>2</v>
      </c>
      <c r="D37" s="117">
        <v>32339</v>
      </c>
      <c r="E37" s="129">
        <v>6.1844831318222599</v>
      </c>
      <c r="F37" s="120" t="s">
        <v>301</v>
      </c>
      <c r="G37" s="120" t="s">
        <v>301</v>
      </c>
    </row>
    <row r="38" spans="2:7" x14ac:dyDescent="0.2">
      <c r="B38" s="114">
        <v>2021</v>
      </c>
      <c r="C38" s="115">
        <v>3</v>
      </c>
      <c r="D38" s="115">
        <v>32339</v>
      </c>
      <c r="E38" s="128">
        <v>9.2767246977333908</v>
      </c>
      <c r="F38" s="119" t="s">
        <v>301</v>
      </c>
      <c r="G38" s="119" t="s">
        <v>301</v>
      </c>
    </row>
    <row r="39" spans="2:7" x14ac:dyDescent="0.2">
      <c r="B39" s="116">
        <v>2022</v>
      </c>
      <c r="C39" s="117">
        <v>3</v>
      </c>
      <c r="D39" s="117">
        <v>32339</v>
      </c>
      <c r="E39" s="129">
        <v>9.2767246977333908</v>
      </c>
      <c r="F39" s="120" t="s">
        <v>301</v>
      </c>
      <c r="G39" s="120" t="s">
        <v>301</v>
      </c>
    </row>
    <row r="40" spans="2:7" x14ac:dyDescent="0.2">
      <c r="B40" s="114">
        <v>2023</v>
      </c>
      <c r="C40" s="115">
        <v>2</v>
      </c>
      <c r="D40" s="115">
        <v>32339</v>
      </c>
      <c r="E40" s="128">
        <v>6.1844831318222599</v>
      </c>
      <c r="F40" s="119" t="s">
        <v>301</v>
      </c>
      <c r="G40" s="119" t="s">
        <v>301</v>
      </c>
    </row>
    <row r="41" spans="2:7" x14ac:dyDescent="0.2">
      <c r="B41" s="116">
        <v>2024</v>
      </c>
      <c r="C41" s="117">
        <v>3</v>
      </c>
      <c r="D41" s="117">
        <v>32339</v>
      </c>
      <c r="E41" s="129">
        <v>9.2767246977333908</v>
      </c>
      <c r="F41" s="120" t="s">
        <v>301</v>
      </c>
      <c r="G41" s="120" t="s">
        <v>301</v>
      </c>
    </row>
    <row r="42" spans="2:7" ht="30" x14ac:dyDescent="0.25">
      <c r="B42" s="15" t="s">
        <v>202</v>
      </c>
      <c r="C42" s="16">
        <v>1.4</v>
      </c>
      <c r="D42" s="16">
        <v>31746</v>
      </c>
      <c r="E42" s="23">
        <v>4.4100044100044098</v>
      </c>
      <c r="F42" s="14"/>
      <c r="G42" s="14"/>
    </row>
    <row r="43" spans="2:7" x14ac:dyDescent="0.2">
      <c r="B43" s="9" t="s">
        <v>427</v>
      </c>
    </row>
    <row r="44" spans="2:7" x14ac:dyDescent="0.2">
      <c r="B44" s="9" t="s">
        <v>428</v>
      </c>
    </row>
    <row r="45" spans="2:7" ht="25.5" customHeight="1" x14ac:dyDescent="0.2">
      <c r="B45" s="230" t="s">
        <v>453</v>
      </c>
      <c r="C45" s="223"/>
      <c r="D45" s="223"/>
      <c r="E45" s="223"/>
      <c r="F45" s="223"/>
      <c r="G45" s="223"/>
    </row>
    <row r="47" spans="2:7" x14ac:dyDescent="0.2">
      <c r="B47" s="1" t="str">
        <f>HYPERLINK("#'Contents'!A1", "Return to Contents Page")</f>
        <v>Return to Contents Page</v>
      </c>
    </row>
    <row r="49" spans="2:18" ht="45" customHeight="1" x14ac:dyDescent="0.2"/>
    <row r="50" spans="2:18" x14ac:dyDescent="0.2">
      <c r="B50" t="s">
        <v>467</v>
      </c>
    </row>
    <row r="51" spans="2:18" ht="45" customHeight="1" x14ac:dyDescent="0.25">
      <c r="B51" s="222" t="s">
        <v>468</v>
      </c>
      <c r="C51" s="223"/>
      <c r="D51" s="223"/>
      <c r="E51" s="223"/>
      <c r="F51" s="223"/>
      <c r="G51" s="223"/>
      <c r="H51" s="223"/>
      <c r="J51" s="222" t="s">
        <v>469</v>
      </c>
      <c r="K51" s="223"/>
      <c r="L51" s="223"/>
      <c r="M51" s="223"/>
      <c r="N51" s="223"/>
      <c r="O51" s="223"/>
      <c r="P51" s="223"/>
      <c r="Q51" s="223"/>
      <c r="R51" s="223"/>
    </row>
    <row r="52" spans="2:18" x14ac:dyDescent="0.2">
      <c r="B52" t="s">
        <v>196</v>
      </c>
    </row>
    <row r="54" spans="2:18" ht="15" x14ac:dyDescent="0.25">
      <c r="B54" s="224" t="s">
        <v>422</v>
      </c>
      <c r="C54" s="224"/>
      <c r="D54" s="224"/>
      <c r="E54" s="224"/>
      <c r="F54" s="224"/>
      <c r="G54" s="224"/>
    </row>
    <row r="55" spans="2:18" ht="45.75" thickBot="1" x14ac:dyDescent="0.3">
      <c r="B55" s="110" t="s">
        <v>197</v>
      </c>
      <c r="C55" s="111" t="s">
        <v>423</v>
      </c>
      <c r="D55" s="111" t="s">
        <v>424</v>
      </c>
      <c r="E55" s="111" t="s">
        <v>425</v>
      </c>
      <c r="F55" s="111" t="s">
        <v>199</v>
      </c>
      <c r="G55" s="111" t="s">
        <v>200</v>
      </c>
    </row>
    <row r="56" spans="2:18" ht="15" thickTop="1" x14ac:dyDescent="0.2">
      <c r="B56" s="112" t="s">
        <v>207</v>
      </c>
      <c r="C56" s="113">
        <v>7.4</v>
      </c>
      <c r="D56" s="113">
        <v>38681</v>
      </c>
      <c r="E56" s="127">
        <v>19.1308394302112</v>
      </c>
      <c r="F56" s="118"/>
      <c r="G56" s="118"/>
    </row>
    <row r="57" spans="2:18" x14ac:dyDescent="0.2">
      <c r="B57" s="114" t="s">
        <v>208</v>
      </c>
      <c r="C57" s="115">
        <v>7.8</v>
      </c>
      <c r="D57" s="115">
        <v>39069</v>
      </c>
      <c r="E57" s="128">
        <v>19.964677877601201</v>
      </c>
      <c r="F57" s="119">
        <v>4.3586087815528002E-2</v>
      </c>
      <c r="G57" s="119">
        <v>4.3586087815528002E-2</v>
      </c>
    </row>
    <row r="58" spans="2:18" x14ac:dyDescent="0.2">
      <c r="B58" s="116" t="s">
        <v>209</v>
      </c>
      <c r="C58" s="117">
        <v>8.4</v>
      </c>
      <c r="D58" s="117">
        <v>39398</v>
      </c>
      <c r="E58" s="129">
        <v>21.320879232448299</v>
      </c>
      <c r="F58" s="120">
        <v>0.114476931878831</v>
      </c>
      <c r="G58" s="120">
        <v>6.7930039400672604E-2</v>
      </c>
    </row>
    <row r="59" spans="2:18" x14ac:dyDescent="0.2">
      <c r="B59" s="114" t="s">
        <v>210</v>
      </c>
      <c r="C59" s="115">
        <v>8.1999999999999993</v>
      </c>
      <c r="D59" s="115">
        <v>39644</v>
      </c>
      <c r="E59" s="128">
        <v>20.6840883866411</v>
      </c>
      <c r="F59" s="119">
        <v>8.1190841734681898E-2</v>
      </c>
      <c r="G59" s="119">
        <v>-2.9867006837040199E-2</v>
      </c>
    </row>
    <row r="60" spans="2:18" x14ac:dyDescent="0.2">
      <c r="B60" s="116" t="s">
        <v>211</v>
      </c>
      <c r="C60" s="117">
        <v>9.1999999999999993</v>
      </c>
      <c r="D60" s="117">
        <v>39794</v>
      </c>
      <c r="E60" s="129">
        <v>23.119063175353102</v>
      </c>
      <c r="F60" s="120">
        <v>0.20847092254842201</v>
      </c>
      <c r="G60" s="120">
        <v>0.117722122589874</v>
      </c>
    </row>
    <row r="61" spans="2:18" x14ac:dyDescent="0.2">
      <c r="B61" s="114" t="s">
        <v>212</v>
      </c>
      <c r="C61" s="115">
        <v>9.6</v>
      </c>
      <c r="D61" s="115">
        <v>39857</v>
      </c>
      <c r="E61" s="128">
        <v>24.086107835511999</v>
      </c>
      <c r="F61" s="119">
        <v>0.25901991511545702</v>
      </c>
      <c r="G61" s="119">
        <v>4.1828886093872697E-2</v>
      </c>
    </row>
    <row r="62" spans="2:18" x14ac:dyDescent="0.2">
      <c r="B62" s="116" t="s">
        <v>213</v>
      </c>
      <c r="C62" s="117">
        <v>9.6</v>
      </c>
      <c r="D62" s="117">
        <v>39857</v>
      </c>
      <c r="E62" s="129">
        <v>24.086107835511999</v>
      </c>
      <c r="F62" s="120">
        <v>0.25901991511545702</v>
      </c>
      <c r="G62" s="120">
        <v>0</v>
      </c>
    </row>
    <row r="63" spans="2:18" ht="30" customHeight="1" x14ac:dyDescent="0.25">
      <c r="B63" s="15" t="s">
        <v>202</v>
      </c>
      <c r="C63" s="16">
        <v>7.4</v>
      </c>
      <c r="D63" s="16">
        <v>38681</v>
      </c>
      <c r="E63" s="23">
        <v>19.1308394302112</v>
      </c>
      <c r="F63" s="14"/>
      <c r="G63" s="14"/>
    </row>
    <row r="64" spans="2:18" x14ac:dyDescent="0.2">
      <c r="B64" s="9" t="s">
        <v>427</v>
      </c>
    </row>
    <row r="65" spans="2:8" x14ac:dyDescent="0.2">
      <c r="B65" s="9" t="s">
        <v>428</v>
      </c>
    </row>
    <row r="66" spans="2:8" ht="25.5" customHeight="1" x14ac:dyDescent="0.2">
      <c r="B66" s="230" t="s">
        <v>453</v>
      </c>
      <c r="C66" s="223"/>
      <c r="D66" s="223"/>
      <c r="E66" s="223"/>
      <c r="F66" s="223"/>
      <c r="G66" s="223"/>
    </row>
    <row r="68" spans="2:8" x14ac:dyDescent="0.2">
      <c r="B68" t="s">
        <v>470</v>
      </c>
    </row>
    <row r="69" spans="2:8" ht="45" customHeight="1" x14ac:dyDescent="0.25">
      <c r="B69" s="222" t="s">
        <v>471</v>
      </c>
      <c r="C69" s="223"/>
      <c r="D69" s="223"/>
      <c r="E69" s="223"/>
      <c r="F69" s="223"/>
      <c r="G69" s="223"/>
      <c r="H69" s="223"/>
    </row>
    <row r="70" spans="2:8" x14ac:dyDescent="0.2">
      <c r="B70" t="s">
        <v>196</v>
      </c>
    </row>
    <row r="72" spans="2:8" ht="15" x14ac:dyDescent="0.25">
      <c r="B72" s="224" t="s">
        <v>432</v>
      </c>
      <c r="C72" s="224"/>
      <c r="D72" s="224"/>
      <c r="E72" s="224"/>
      <c r="F72" s="224"/>
      <c r="G72" s="224"/>
    </row>
    <row r="73" spans="2:8" ht="45" customHeight="1" thickBot="1" x14ac:dyDescent="0.3">
      <c r="B73" s="110" t="s">
        <v>197</v>
      </c>
      <c r="C73" s="111" t="s">
        <v>423</v>
      </c>
      <c r="D73" s="111" t="s">
        <v>424</v>
      </c>
      <c r="E73" s="111" t="s">
        <v>425</v>
      </c>
      <c r="F73" s="111" t="s">
        <v>199</v>
      </c>
      <c r="G73" s="111" t="s">
        <v>200</v>
      </c>
    </row>
    <row r="74" spans="2:8" ht="15" thickTop="1" x14ac:dyDescent="0.2">
      <c r="B74" s="112" t="s">
        <v>207</v>
      </c>
      <c r="C74" s="113">
        <v>1.4</v>
      </c>
      <c r="D74" s="113">
        <v>31746</v>
      </c>
      <c r="E74" s="127">
        <v>4.4100044100044098</v>
      </c>
      <c r="F74" s="118"/>
      <c r="G74" s="118"/>
    </row>
    <row r="75" spans="2:8" x14ac:dyDescent="0.2">
      <c r="B75" s="114" t="s">
        <v>208</v>
      </c>
      <c r="C75" s="115">
        <v>2</v>
      </c>
      <c r="D75" s="115">
        <v>31924</v>
      </c>
      <c r="E75" s="128">
        <v>6.2648790878335996</v>
      </c>
      <c r="F75" s="119" t="s">
        <v>301</v>
      </c>
      <c r="G75" s="119" t="s">
        <v>301</v>
      </c>
    </row>
    <row r="76" spans="2:8" x14ac:dyDescent="0.2">
      <c r="B76" s="116" t="s">
        <v>209</v>
      </c>
      <c r="C76" s="117">
        <v>2</v>
      </c>
      <c r="D76" s="117">
        <v>32077</v>
      </c>
      <c r="E76" s="129">
        <v>6.2349970383764104</v>
      </c>
      <c r="F76" s="120" t="s">
        <v>301</v>
      </c>
      <c r="G76" s="120" t="s">
        <v>301</v>
      </c>
    </row>
    <row r="77" spans="2:8" x14ac:dyDescent="0.2">
      <c r="B77" s="114" t="s">
        <v>210</v>
      </c>
      <c r="C77" s="115">
        <v>2.2000000000000002</v>
      </c>
      <c r="D77" s="115">
        <v>32220</v>
      </c>
      <c r="E77" s="128">
        <v>6.8280571073867202</v>
      </c>
      <c r="F77" s="119" t="s">
        <v>301</v>
      </c>
      <c r="G77" s="119" t="s">
        <v>301</v>
      </c>
    </row>
    <row r="78" spans="2:8" x14ac:dyDescent="0.2">
      <c r="B78" s="116" t="s">
        <v>211</v>
      </c>
      <c r="C78" s="117">
        <v>2.4</v>
      </c>
      <c r="D78" s="117">
        <v>32326</v>
      </c>
      <c r="E78" s="129">
        <v>7.4243642888077703</v>
      </c>
      <c r="F78" s="120" t="s">
        <v>301</v>
      </c>
      <c r="G78" s="120" t="s">
        <v>301</v>
      </c>
    </row>
    <row r="79" spans="2:8" x14ac:dyDescent="0.2">
      <c r="B79" s="114" t="s">
        <v>212</v>
      </c>
      <c r="C79" s="115">
        <v>2.6</v>
      </c>
      <c r="D79" s="115">
        <v>32349</v>
      </c>
      <c r="E79" s="128">
        <v>8.0373427308417593</v>
      </c>
      <c r="F79" s="119" t="s">
        <v>301</v>
      </c>
      <c r="G79" s="119" t="s">
        <v>301</v>
      </c>
    </row>
    <row r="80" spans="2:8" x14ac:dyDescent="0.2">
      <c r="B80" s="116" t="s">
        <v>213</v>
      </c>
      <c r="C80" s="117">
        <v>2.6</v>
      </c>
      <c r="D80" s="117">
        <v>32349</v>
      </c>
      <c r="E80" s="129">
        <v>8.0373427308417593</v>
      </c>
      <c r="F80" s="120" t="s">
        <v>301</v>
      </c>
      <c r="G80" s="120" t="s">
        <v>301</v>
      </c>
    </row>
    <row r="81" spans="2:7" ht="30" customHeight="1" x14ac:dyDescent="0.25">
      <c r="B81" s="15" t="s">
        <v>202</v>
      </c>
      <c r="C81" s="16">
        <v>1.4</v>
      </c>
      <c r="D81" s="16">
        <v>31746</v>
      </c>
      <c r="E81" s="23">
        <v>4.4100044100044098</v>
      </c>
      <c r="F81" s="14"/>
      <c r="G81" s="14"/>
    </row>
    <row r="82" spans="2:7" x14ac:dyDescent="0.2">
      <c r="B82" s="9" t="s">
        <v>427</v>
      </c>
    </row>
    <row r="83" spans="2:7" x14ac:dyDescent="0.2">
      <c r="B83" s="9" t="s">
        <v>428</v>
      </c>
    </row>
    <row r="84" spans="2:7" ht="25.5" customHeight="1" x14ac:dyDescent="0.2">
      <c r="B84" s="230" t="s">
        <v>453</v>
      </c>
      <c r="C84" s="223"/>
      <c r="D84" s="223"/>
      <c r="E84" s="223"/>
      <c r="F84" s="223"/>
      <c r="G84" s="223"/>
    </row>
    <row r="86" spans="2:7" x14ac:dyDescent="0.2">
      <c r="B86" s="1" t="str">
        <f>HYPERLINK("#'Contents'!A1", "Return to Contents Page")</f>
        <v>Return to Contents Page</v>
      </c>
    </row>
  </sheetData>
  <mergeCells count="14">
    <mergeCell ref="B72:G72"/>
    <mergeCell ref="B69:H69"/>
    <mergeCell ref="B84:G84"/>
    <mergeCell ref="B45:G45"/>
    <mergeCell ref="B51:H51"/>
    <mergeCell ref="B54:G54"/>
    <mergeCell ref="J51:R51"/>
    <mergeCell ref="B66:G66"/>
    <mergeCell ref="B7:G7"/>
    <mergeCell ref="J4:R4"/>
    <mergeCell ref="B4:H4"/>
    <mergeCell ref="B23:G23"/>
    <mergeCell ref="B29:G29"/>
    <mergeCell ref="B26:H26"/>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472</v>
      </c>
    </row>
    <row r="3" spans="2:8" x14ac:dyDescent="0.2">
      <c r="B3" t="s">
        <v>97</v>
      </c>
    </row>
    <row r="4" spans="2:8" ht="30" customHeight="1" x14ac:dyDescent="0.25">
      <c r="B4" s="222" t="s">
        <v>98</v>
      </c>
      <c r="C4" s="223"/>
      <c r="D4" s="223"/>
      <c r="E4" s="223"/>
      <c r="F4" s="223"/>
      <c r="H4" s="6" t="s">
        <v>473</v>
      </c>
    </row>
    <row r="5" spans="2:8" x14ac:dyDescent="0.2">
      <c r="B5" t="s">
        <v>196</v>
      </c>
    </row>
    <row r="7" spans="2:8" ht="45" customHeight="1" thickBot="1" x14ac:dyDescent="0.3">
      <c r="B7" s="110" t="s">
        <v>197</v>
      </c>
      <c r="C7" s="111" t="s">
        <v>342</v>
      </c>
      <c r="D7" s="111" t="s">
        <v>199</v>
      </c>
      <c r="E7" s="111" t="s">
        <v>200</v>
      </c>
    </row>
    <row r="8" spans="2:8" ht="15" thickTop="1" x14ac:dyDescent="0.2">
      <c r="B8" s="112">
        <v>2014</v>
      </c>
      <c r="C8" s="113">
        <v>259</v>
      </c>
      <c r="D8" s="118"/>
      <c r="E8" s="118"/>
    </row>
    <row r="9" spans="2:8" x14ac:dyDescent="0.2">
      <c r="B9" s="114">
        <v>2015</v>
      </c>
      <c r="C9" s="115">
        <v>243</v>
      </c>
      <c r="D9" s="119"/>
      <c r="E9" s="119">
        <v>-6.1776061776061798E-2</v>
      </c>
    </row>
    <row r="10" spans="2:8" x14ac:dyDescent="0.2">
      <c r="B10" s="116">
        <v>2016</v>
      </c>
      <c r="C10" s="117">
        <v>265</v>
      </c>
      <c r="D10" s="120"/>
      <c r="E10" s="120">
        <v>9.0534979423868303E-2</v>
      </c>
    </row>
    <row r="11" spans="2:8" x14ac:dyDescent="0.2">
      <c r="B11" s="114">
        <v>2017</v>
      </c>
      <c r="C11" s="115">
        <v>235</v>
      </c>
      <c r="D11" s="119"/>
      <c r="E11" s="119">
        <v>-0.113207547169811</v>
      </c>
    </row>
    <row r="12" spans="2:8" x14ac:dyDescent="0.2">
      <c r="B12" s="116">
        <v>2018</v>
      </c>
      <c r="C12" s="117">
        <v>218</v>
      </c>
      <c r="D12" s="120"/>
      <c r="E12" s="120">
        <v>-7.2340425531914901E-2</v>
      </c>
    </row>
    <row r="13" spans="2:8" x14ac:dyDescent="0.2">
      <c r="B13" s="114">
        <v>2019</v>
      </c>
      <c r="C13" s="115">
        <v>233</v>
      </c>
      <c r="D13" s="119">
        <v>-4.5081967213114797E-2</v>
      </c>
      <c r="E13" s="119">
        <v>6.8807339449541302E-2</v>
      </c>
    </row>
    <row r="14" spans="2:8" x14ac:dyDescent="0.2">
      <c r="B14" s="116">
        <v>2020</v>
      </c>
      <c r="C14" s="117">
        <v>161</v>
      </c>
      <c r="D14" s="120">
        <v>-0.340163934426229</v>
      </c>
      <c r="E14" s="120">
        <v>-0.30901287553648099</v>
      </c>
    </row>
    <row r="15" spans="2:8" x14ac:dyDescent="0.2">
      <c r="B15" s="114">
        <v>2021</v>
      </c>
      <c r="C15" s="115">
        <v>212</v>
      </c>
      <c r="D15" s="119">
        <v>-0.13114754098360701</v>
      </c>
      <c r="E15" s="119">
        <v>0.31677018633540399</v>
      </c>
    </row>
    <row r="16" spans="2:8" x14ac:dyDescent="0.2">
      <c r="B16" s="116">
        <v>2022</v>
      </c>
      <c r="C16" s="117">
        <v>245</v>
      </c>
      <c r="D16" s="120">
        <v>4.0983606557377103E-3</v>
      </c>
      <c r="E16" s="120">
        <v>0.155660377358491</v>
      </c>
    </row>
    <row r="17" spans="2:12" x14ac:dyDescent="0.2">
      <c r="B17" s="114">
        <v>2023</v>
      </c>
      <c r="C17" s="115">
        <v>240</v>
      </c>
      <c r="D17" s="119">
        <v>-1.63934426229508E-2</v>
      </c>
      <c r="E17" s="119">
        <v>-2.04081632653061E-2</v>
      </c>
    </row>
    <row r="18" spans="2:12" x14ac:dyDescent="0.2">
      <c r="B18" s="116">
        <v>2024</v>
      </c>
      <c r="C18" s="117">
        <v>268</v>
      </c>
      <c r="D18" s="120">
        <v>9.8360655737704902E-2</v>
      </c>
      <c r="E18" s="120">
        <v>0.116666666666667</v>
      </c>
    </row>
    <row r="19" spans="2:12" ht="30" customHeight="1" x14ac:dyDescent="0.25">
      <c r="B19" s="121" t="s">
        <v>202</v>
      </c>
      <c r="C19" s="122">
        <v>244</v>
      </c>
      <c r="D19" s="123"/>
      <c r="E19" s="14"/>
    </row>
    <row r="21" spans="2:12" ht="45" customHeight="1" x14ac:dyDescent="0.2">
      <c r="B21" s="230" t="s">
        <v>474</v>
      </c>
      <c r="C21" s="223"/>
      <c r="D21" s="223"/>
      <c r="E21" s="223"/>
      <c r="F21" s="223"/>
    </row>
    <row r="23" spans="2:12" x14ac:dyDescent="0.2">
      <c r="B23" s="1" t="str">
        <f>HYPERLINK("#'Contents'!A1", "Return to Contents Page")</f>
        <v>Return to Contents Page</v>
      </c>
    </row>
    <row r="26" spans="2:12" ht="15" x14ac:dyDescent="0.25">
      <c r="B26" s="6" t="s">
        <v>99</v>
      </c>
    </row>
    <row r="27" spans="2:12" ht="30" customHeight="1" x14ac:dyDescent="0.25">
      <c r="B27" s="222" t="s">
        <v>100</v>
      </c>
      <c r="C27" s="223"/>
      <c r="D27" s="223"/>
      <c r="E27" s="223"/>
      <c r="H27" s="222" t="s">
        <v>475</v>
      </c>
      <c r="I27" s="223"/>
      <c r="J27" s="223"/>
      <c r="K27" s="223"/>
      <c r="L27" s="223"/>
    </row>
    <row r="28" spans="2:12" ht="15" x14ac:dyDescent="0.25">
      <c r="B28" s="6" t="s">
        <v>196</v>
      </c>
    </row>
    <row r="30" spans="2:12" ht="45" customHeight="1" thickBot="1" x14ac:dyDescent="0.3">
      <c r="B30" s="110" t="s">
        <v>197</v>
      </c>
      <c r="C30" s="111" t="s">
        <v>342</v>
      </c>
      <c r="D30" s="111" t="s">
        <v>199</v>
      </c>
      <c r="E30" s="111" t="s">
        <v>206</v>
      </c>
    </row>
    <row r="31" spans="2:12" ht="15" thickTop="1" x14ac:dyDescent="0.2">
      <c r="B31" s="124" t="s">
        <v>207</v>
      </c>
      <c r="C31" s="113">
        <v>244</v>
      </c>
      <c r="D31" s="118"/>
      <c r="E31" s="118"/>
    </row>
    <row r="32" spans="2:12" x14ac:dyDescent="0.2">
      <c r="B32" s="125" t="s">
        <v>208</v>
      </c>
      <c r="C32" s="115">
        <v>238.8</v>
      </c>
      <c r="D32" s="119">
        <v>-2.1311475409835998E-2</v>
      </c>
      <c r="E32" s="119">
        <v>-2.1311475409835998E-2</v>
      </c>
    </row>
    <row r="33" spans="2:6" x14ac:dyDescent="0.2">
      <c r="B33" s="126" t="s">
        <v>209</v>
      </c>
      <c r="C33" s="117">
        <v>222.4</v>
      </c>
      <c r="D33" s="120">
        <v>-8.8524590163934394E-2</v>
      </c>
      <c r="E33" s="120">
        <v>-6.8676716917923E-2</v>
      </c>
    </row>
    <row r="34" spans="2:6" x14ac:dyDescent="0.2">
      <c r="B34" s="125" t="s">
        <v>210</v>
      </c>
      <c r="C34" s="115">
        <v>211.8</v>
      </c>
      <c r="D34" s="119">
        <v>-0.13196721311475401</v>
      </c>
      <c r="E34" s="119">
        <v>-4.7661870503597097E-2</v>
      </c>
    </row>
    <row r="35" spans="2:6" x14ac:dyDescent="0.2">
      <c r="B35" s="126" t="s">
        <v>211</v>
      </c>
      <c r="C35" s="117">
        <v>213.8</v>
      </c>
      <c r="D35" s="120">
        <v>-0.123770491803279</v>
      </c>
      <c r="E35" s="120">
        <v>9.4428706326723302E-3</v>
      </c>
    </row>
    <row r="36" spans="2:6" x14ac:dyDescent="0.2">
      <c r="B36" s="125" t="s">
        <v>212</v>
      </c>
      <c r="C36" s="115">
        <v>218.2</v>
      </c>
      <c r="D36" s="119">
        <v>-0.105737704918033</v>
      </c>
      <c r="E36" s="119">
        <v>2.0579981290925999E-2</v>
      </c>
    </row>
    <row r="37" spans="2:6" x14ac:dyDescent="0.2">
      <c r="B37" s="126" t="s">
        <v>213</v>
      </c>
      <c r="C37" s="117">
        <v>225.2</v>
      </c>
      <c r="D37" s="120">
        <v>-7.7049180327868894E-2</v>
      </c>
      <c r="E37" s="120">
        <v>3.20806599450046E-2</v>
      </c>
    </row>
    <row r="38" spans="2:6" ht="30" x14ac:dyDescent="0.25">
      <c r="B38" s="121" t="s">
        <v>214</v>
      </c>
      <c r="C38" s="122">
        <v>244</v>
      </c>
      <c r="D38" s="123"/>
      <c r="E38" s="14"/>
    </row>
    <row r="39" spans="2:6" x14ac:dyDescent="0.2">
      <c r="C39" s="7"/>
      <c r="D39" s="8"/>
      <c r="E39" s="8"/>
    </row>
    <row r="40" spans="2:6" ht="45" customHeight="1" x14ac:dyDescent="0.2">
      <c r="B40" s="230" t="s">
        <v>474</v>
      </c>
      <c r="C40" s="227"/>
      <c r="D40" s="229"/>
      <c r="E40" s="229"/>
      <c r="F40" s="223"/>
    </row>
    <row r="41" spans="2:6" x14ac:dyDescent="0.2">
      <c r="C41" s="7"/>
      <c r="D41" s="8"/>
      <c r="E41" s="8"/>
    </row>
    <row r="42" spans="2:6" x14ac:dyDescent="0.2">
      <c r="C42" s="7"/>
      <c r="D42" s="8"/>
      <c r="E42" s="8"/>
    </row>
    <row r="43" spans="2:6" x14ac:dyDescent="0.2">
      <c r="C43" s="7"/>
      <c r="D43" s="8"/>
      <c r="E43" s="8"/>
    </row>
    <row r="44" spans="2:6" x14ac:dyDescent="0.2">
      <c r="B44" s="1" t="str">
        <f>HYPERLINK("#'Contents'!A1", "Return to Contents Page")</f>
        <v>Return to Contents Page</v>
      </c>
      <c r="C44" s="7"/>
      <c r="D44" s="8"/>
      <c r="E44" s="8"/>
    </row>
    <row r="45" spans="2:6" x14ac:dyDescent="0.2">
      <c r="C45" s="7"/>
      <c r="D45" s="8"/>
      <c r="E45" s="8"/>
    </row>
    <row r="46" spans="2:6" x14ac:dyDescent="0.2">
      <c r="C46" s="7"/>
      <c r="D46" s="8"/>
      <c r="E46" s="8"/>
    </row>
    <row r="47" spans="2:6" x14ac:dyDescent="0.2">
      <c r="C47" s="7"/>
      <c r="D47" s="8"/>
      <c r="E47" s="8"/>
    </row>
    <row r="48" spans="2:6" x14ac:dyDescent="0.2">
      <c r="C48" s="7"/>
      <c r="D48" s="8"/>
      <c r="E48" s="8"/>
    </row>
    <row r="49" spans="3:5" x14ac:dyDescent="0.2">
      <c r="C49" s="7"/>
      <c r="D49" s="8"/>
      <c r="E49" s="8"/>
    </row>
    <row r="50" spans="3:5" x14ac:dyDescent="0.2">
      <c r="C50" s="7"/>
      <c r="D50" s="8"/>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292"/>
  <sheetViews>
    <sheetView showGridLines="0" workbookViewId="0">
      <selection sqref="A1:XFD1048576"/>
    </sheetView>
  </sheetViews>
  <sheetFormatPr defaultColWidth="9" defaultRowHeight="14.25" x14ac:dyDescent="0.2"/>
  <cols>
    <col min="1" max="1" width="7.625" style="39" customWidth="1"/>
    <col min="2" max="2" width="12" style="39" customWidth="1"/>
    <col min="3" max="8" width="11.125" style="39" customWidth="1"/>
    <col min="9" max="16384" width="9" style="39"/>
  </cols>
  <sheetData>
    <row r="1" spans="1:21" ht="15" x14ac:dyDescent="0.25">
      <c r="B1" s="40" t="s">
        <v>585</v>
      </c>
      <c r="C1" s="41"/>
      <c r="D1" s="41"/>
      <c r="E1" s="41"/>
      <c r="F1" s="41"/>
      <c r="G1" s="41"/>
      <c r="H1" s="41"/>
      <c r="I1" s="41"/>
      <c r="J1" s="41"/>
      <c r="K1" s="41"/>
      <c r="L1" s="41"/>
    </row>
    <row r="2" spans="1:21" x14ac:dyDescent="0.2">
      <c r="C2" s="42"/>
      <c r="D2" s="42"/>
      <c r="E2" s="42"/>
      <c r="F2" s="42"/>
      <c r="G2" s="42"/>
    </row>
    <row r="3" spans="1:21" ht="15" customHeight="1" x14ac:dyDescent="0.2">
      <c r="B3" s="39" t="s">
        <v>101</v>
      </c>
    </row>
    <row r="4" spans="1:21" ht="31.5" customHeight="1" x14ac:dyDescent="0.25">
      <c r="B4" s="250" t="s">
        <v>586</v>
      </c>
      <c r="C4" s="250"/>
      <c r="D4" s="250"/>
      <c r="E4" s="250"/>
      <c r="F4" s="250"/>
      <c r="G4" s="250"/>
      <c r="H4" s="250"/>
      <c r="K4" s="250" t="s">
        <v>697</v>
      </c>
      <c r="L4" s="250"/>
      <c r="M4" s="250"/>
      <c r="N4" s="250"/>
      <c r="O4" s="250"/>
      <c r="P4" s="250"/>
      <c r="Q4" s="250"/>
      <c r="R4" s="250"/>
      <c r="S4" s="250"/>
      <c r="T4" s="250"/>
      <c r="U4" s="44"/>
    </row>
    <row r="5" spans="1:21" ht="15" customHeight="1" x14ac:dyDescent="0.25">
      <c r="B5" s="41" t="s">
        <v>196</v>
      </c>
      <c r="J5" s="45"/>
      <c r="K5" s="45"/>
      <c r="L5" s="45"/>
      <c r="M5" s="45"/>
      <c r="N5" s="45"/>
      <c r="O5" s="45"/>
      <c r="P5" s="45"/>
      <c r="Q5" s="45"/>
      <c r="R5" s="45"/>
      <c r="S5" s="45"/>
    </row>
    <row r="6" spans="1:21" ht="15" customHeight="1" thickBot="1" x14ac:dyDescent="0.3">
      <c r="B6" s="242" t="s">
        <v>587</v>
      </c>
      <c r="C6" s="242"/>
      <c r="D6" s="242"/>
      <c r="E6" s="242"/>
      <c r="F6" s="242"/>
      <c r="G6" s="242"/>
      <c r="H6" s="243"/>
    </row>
    <row r="7" spans="1:21" ht="31.5" thickTop="1" thickBot="1" x14ac:dyDescent="0.3">
      <c r="B7" s="46"/>
      <c r="C7" s="47" t="s">
        <v>197</v>
      </c>
      <c r="D7" s="47" t="s">
        <v>588</v>
      </c>
      <c r="E7" s="48" t="s">
        <v>589</v>
      </c>
      <c r="F7" s="46" t="s">
        <v>590</v>
      </c>
      <c r="G7" s="47" t="s">
        <v>591</v>
      </c>
      <c r="H7" s="47" t="s">
        <v>592</v>
      </c>
    </row>
    <row r="8" spans="1:21" ht="15" customHeight="1" thickTop="1" x14ac:dyDescent="0.2">
      <c r="A8" s="49" t="s">
        <v>593</v>
      </c>
      <c r="B8" s="233" t="s">
        <v>594</v>
      </c>
      <c r="C8" s="50" t="s">
        <v>595</v>
      </c>
      <c r="D8" s="51">
        <v>30.450668364099304</v>
      </c>
      <c r="E8" s="52">
        <v>17.400381922342461</v>
      </c>
      <c r="F8" s="52">
        <v>14.016974326331425</v>
      </c>
      <c r="G8" s="53">
        <v>19.333757691491623</v>
      </c>
      <c r="H8" s="51">
        <v>81.20178230426481</v>
      </c>
      <c r="K8" s="54" t="s">
        <v>595</v>
      </c>
      <c r="L8" s="54"/>
    </row>
    <row r="9" spans="1:21" ht="15" customHeight="1" x14ac:dyDescent="0.2">
      <c r="A9" s="49" t="s">
        <v>596</v>
      </c>
      <c r="B9" s="234"/>
      <c r="C9" s="55" t="s">
        <v>578</v>
      </c>
      <c r="D9" s="56">
        <v>29.364529173887931</v>
      </c>
      <c r="E9" s="57">
        <v>18.522241478913923</v>
      </c>
      <c r="F9" s="57">
        <v>12.649335644136338</v>
      </c>
      <c r="G9" s="58">
        <v>19.425765453495089</v>
      </c>
      <c r="H9" s="56">
        <v>79.961871750433275</v>
      </c>
      <c r="K9" s="54" t="s">
        <v>578</v>
      </c>
      <c r="L9" s="54"/>
    </row>
    <row r="10" spans="1:21" ht="15" customHeight="1" x14ac:dyDescent="0.2">
      <c r="A10" s="49" t="s">
        <v>597</v>
      </c>
      <c r="B10" s="234"/>
      <c r="C10" s="50" t="s">
        <v>598</v>
      </c>
      <c r="D10" s="51">
        <v>27.302572405108833</v>
      </c>
      <c r="E10" s="52">
        <v>17.221622593991725</v>
      </c>
      <c r="F10" s="52">
        <v>12.181147688433171</v>
      </c>
      <c r="G10" s="53">
        <v>18.901780895844578</v>
      </c>
      <c r="H10" s="51">
        <v>75.607123583378311</v>
      </c>
      <c r="K10" s="54" t="s">
        <v>579</v>
      </c>
      <c r="L10" s="54"/>
    </row>
    <row r="11" spans="1:21" ht="15" customHeight="1" x14ac:dyDescent="0.2">
      <c r="A11" s="49" t="s">
        <v>599</v>
      </c>
      <c r="B11" s="234"/>
      <c r="C11" s="55" t="s">
        <v>580</v>
      </c>
      <c r="D11" s="56">
        <v>24.939590075512402</v>
      </c>
      <c r="E11" s="57">
        <v>17.171521035598708</v>
      </c>
      <c r="F11" s="57">
        <v>13.491909385113269</v>
      </c>
      <c r="G11" s="58">
        <v>22.895361380798274</v>
      </c>
      <c r="H11" s="56">
        <v>78.498381877022652</v>
      </c>
      <c r="K11" s="54" t="s">
        <v>580</v>
      </c>
      <c r="L11" s="54"/>
    </row>
    <row r="12" spans="1:21" ht="15" customHeight="1" x14ac:dyDescent="0.2">
      <c r="A12" s="49" t="s">
        <v>600</v>
      </c>
      <c r="B12" s="234"/>
      <c r="C12" s="50" t="s">
        <v>601</v>
      </c>
      <c r="D12" s="51">
        <v>22.718822170900694</v>
      </c>
      <c r="E12" s="52">
        <v>15.943033102386453</v>
      </c>
      <c r="F12" s="52">
        <v>12.754426481909158</v>
      </c>
      <c r="G12" s="53">
        <v>19.928791377983064</v>
      </c>
      <c r="H12" s="51">
        <v>71.345073133179369</v>
      </c>
      <c r="K12" s="54" t="s">
        <v>601</v>
      </c>
      <c r="L12" s="54"/>
    </row>
    <row r="13" spans="1:21" ht="15" customHeight="1" x14ac:dyDescent="0.2">
      <c r="A13" s="49"/>
      <c r="B13" s="234"/>
      <c r="C13" s="55" t="s">
        <v>602</v>
      </c>
      <c r="D13" s="57">
        <v>22.766355140186914</v>
      </c>
      <c r="E13" s="57">
        <v>12.16822429906542</v>
      </c>
      <c r="F13" s="59">
        <v>12.5607476635514</v>
      </c>
      <c r="G13" s="58">
        <v>18.44859813084112</v>
      </c>
      <c r="H13" s="57">
        <v>65.943925233644848</v>
      </c>
      <c r="K13" s="54" t="s">
        <v>602</v>
      </c>
      <c r="L13" s="60"/>
      <c r="M13" s="60"/>
      <c r="N13" s="60"/>
      <c r="O13" s="60"/>
    </row>
    <row r="14" spans="1:21" ht="15" customHeight="1" x14ac:dyDescent="0.2">
      <c r="A14" s="49" t="s">
        <v>603</v>
      </c>
      <c r="B14" s="234"/>
      <c r="C14" s="50" t="s">
        <v>581</v>
      </c>
      <c r="D14" s="51">
        <v>28.30414746543779</v>
      </c>
      <c r="E14" s="52">
        <v>17.211981566820278</v>
      </c>
      <c r="F14" s="52">
        <v>16.447004608294932</v>
      </c>
      <c r="G14" s="53">
        <v>11.092165898617511</v>
      </c>
      <c r="H14" s="51">
        <v>73.055299539170505</v>
      </c>
      <c r="K14" s="54" t="s">
        <v>581</v>
      </c>
      <c r="L14" s="60"/>
      <c r="M14" s="61"/>
      <c r="N14" s="61"/>
      <c r="O14" s="61"/>
    </row>
    <row r="15" spans="1:21" ht="15" customHeight="1" x14ac:dyDescent="0.2">
      <c r="A15" s="49"/>
      <c r="B15" s="234"/>
      <c r="C15" s="55" t="s">
        <v>582</v>
      </c>
      <c r="D15" s="57">
        <v>35.619291506615447</v>
      </c>
      <c r="E15" s="57">
        <v>21.891022905107413</v>
      </c>
      <c r="F15" s="59">
        <v>18.551714326362216</v>
      </c>
      <c r="G15" s="58">
        <v>11.502062882344573</v>
      </c>
      <c r="H15" s="57">
        <v>87.56409162042965</v>
      </c>
      <c r="K15" s="54" t="s">
        <v>582</v>
      </c>
      <c r="L15" s="60"/>
      <c r="M15" s="61"/>
      <c r="N15" s="61"/>
      <c r="O15" s="61"/>
    </row>
    <row r="16" spans="1:21" ht="15" customHeight="1" x14ac:dyDescent="0.2">
      <c r="A16" s="49"/>
      <c r="B16" s="235"/>
      <c r="C16" s="50" t="s">
        <v>583</v>
      </c>
      <c r="D16" s="51">
        <v>38.718135273511187</v>
      </c>
      <c r="E16" s="52">
        <v>27.029641606036112</v>
      </c>
      <c r="F16" s="52">
        <v>23.742252762058747</v>
      </c>
      <c r="G16" s="53">
        <v>10.22743195904069</v>
      </c>
      <c r="H16" s="51">
        <v>99.717461600646729</v>
      </c>
      <c r="K16" s="54" t="s">
        <v>583</v>
      </c>
      <c r="L16" s="60"/>
      <c r="M16" s="61"/>
      <c r="N16" s="61"/>
      <c r="O16" s="61"/>
    </row>
    <row r="17" spans="2:12" ht="18" customHeight="1" x14ac:dyDescent="0.25">
      <c r="B17" s="237" t="s">
        <v>248</v>
      </c>
      <c r="C17" s="238"/>
      <c r="D17" s="62">
        <f>D8</f>
        <v>30.450668364099304</v>
      </c>
      <c r="E17" s="62">
        <f t="shared" ref="E17:H17" si="0">E8</f>
        <v>17.400381922342461</v>
      </c>
      <c r="F17" s="62">
        <f t="shared" si="0"/>
        <v>14.016974326331425</v>
      </c>
      <c r="G17" s="62">
        <f t="shared" si="0"/>
        <v>19.333757691491623</v>
      </c>
      <c r="H17" s="62">
        <f t="shared" si="0"/>
        <v>81.20178230426481</v>
      </c>
    </row>
    <row r="18" spans="2:12" ht="15" customHeight="1" x14ac:dyDescent="0.2">
      <c r="B18" s="236" t="s">
        <v>604</v>
      </c>
      <c r="C18" s="50" t="s">
        <v>595</v>
      </c>
      <c r="D18" s="51">
        <v>6.2834712497347756</v>
      </c>
      <c r="E18" s="52">
        <v>9.1835349034585203</v>
      </c>
      <c r="F18" s="52">
        <v>5.8001273074474868</v>
      </c>
      <c r="G18" s="53">
        <v>10.633566730320391</v>
      </c>
      <c r="H18" s="51">
        <v>31.900700190961174</v>
      </c>
    </row>
    <row r="19" spans="2:12" ht="15" customHeight="1" x14ac:dyDescent="0.2">
      <c r="B19" s="234"/>
      <c r="C19" s="55" t="s">
        <v>578</v>
      </c>
      <c r="D19" s="56">
        <v>6.7764298093587518</v>
      </c>
      <c r="E19" s="57">
        <v>6.3246678220681689</v>
      </c>
      <c r="F19" s="57">
        <v>4.0658578856152516</v>
      </c>
      <c r="G19" s="58">
        <v>8.1317157712305033</v>
      </c>
      <c r="H19" s="56">
        <v>25.298671288272676</v>
      </c>
    </row>
    <row r="20" spans="2:12" ht="15" customHeight="1" x14ac:dyDescent="0.2">
      <c r="B20" s="234"/>
      <c r="C20" s="50" t="s">
        <v>598</v>
      </c>
      <c r="D20" s="51">
        <v>5.8805540564849803</v>
      </c>
      <c r="E20" s="52">
        <v>5.4605144810217663</v>
      </c>
      <c r="F20" s="52">
        <v>4.2003957546321287</v>
      </c>
      <c r="G20" s="53">
        <v>7.560712358337832</v>
      </c>
      <c r="H20" s="51">
        <v>23.102176650476704</v>
      </c>
    </row>
    <row r="21" spans="2:12" ht="15" customHeight="1" x14ac:dyDescent="0.2">
      <c r="B21" s="234"/>
      <c r="C21" s="55" t="s">
        <v>580</v>
      </c>
      <c r="D21" s="56">
        <v>8.1769147788565277</v>
      </c>
      <c r="E21" s="57">
        <v>7.7680690399136996</v>
      </c>
      <c r="F21" s="57">
        <v>7.7680690399136996</v>
      </c>
      <c r="G21" s="58">
        <v>5.7238403451995685</v>
      </c>
      <c r="H21" s="56">
        <v>29.436893203883493</v>
      </c>
    </row>
    <row r="22" spans="2:12" ht="15" customHeight="1" x14ac:dyDescent="0.2">
      <c r="B22" s="234"/>
      <c r="C22" s="50" t="s">
        <v>601</v>
      </c>
      <c r="D22" s="51">
        <v>7.1743648960739028</v>
      </c>
      <c r="E22" s="52">
        <v>8.7686682063125474</v>
      </c>
      <c r="F22" s="52">
        <v>8.3700923787528865</v>
      </c>
      <c r="G22" s="53">
        <v>2.7900307929176291</v>
      </c>
      <c r="H22" s="51">
        <v>27.103156274056971</v>
      </c>
    </row>
    <row r="23" spans="2:12" ht="15" customHeight="1" x14ac:dyDescent="0.2">
      <c r="B23" s="234"/>
      <c r="C23" s="55" t="s">
        <v>602</v>
      </c>
      <c r="D23" s="57">
        <v>11.383177570093457</v>
      </c>
      <c r="E23" s="57">
        <v>8.6355140186915875</v>
      </c>
      <c r="F23" s="59">
        <v>8.2429906542056059</v>
      </c>
      <c r="G23" s="58">
        <v>4.3177570093457938</v>
      </c>
      <c r="H23" s="57">
        <v>32.579439252336449</v>
      </c>
    </row>
    <row r="24" spans="2:12" ht="15" customHeight="1" x14ac:dyDescent="0.2">
      <c r="B24" s="234"/>
      <c r="C24" s="50" t="s">
        <v>581</v>
      </c>
      <c r="D24" s="51">
        <v>12.23963133640553</v>
      </c>
      <c r="E24" s="52">
        <v>8.0322580645161299</v>
      </c>
      <c r="F24" s="52">
        <v>4.9723502304147456</v>
      </c>
      <c r="G24" s="53">
        <v>3.0599078341013826</v>
      </c>
      <c r="H24" s="51">
        <v>28.30414746543779</v>
      </c>
    </row>
    <row r="25" spans="2:12" ht="15" customHeight="1" x14ac:dyDescent="0.2">
      <c r="B25" s="234"/>
      <c r="C25" s="55" t="s">
        <v>582</v>
      </c>
      <c r="D25" s="57">
        <v>12.615165741926306</v>
      </c>
      <c r="E25" s="57">
        <v>9.275857163181108</v>
      </c>
      <c r="F25" s="59">
        <v>8.5337885901266191</v>
      </c>
      <c r="G25" s="58">
        <v>6.6786171574903967</v>
      </c>
      <c r="H25" s="57">
        <v>37.103428652724432</v>
      </c>
    </row>
    <row r="26" spans="2:12" ht="15" customHeight="1" x14ac:dyDescent="0.2">
      <c r="B26" s="235"/>
      <c r="C26" s="50" t="s">
        <v>583</v>
      </c>
      <c r="D26" s="51">
        <v>12.419024521692267</v>
      </c>
      <c r="E26" s="52">
        <v>11.323228240366479</v>
      </c>
      <c r="F26" s="52">
        <v>12.05375909458367</v>
      </c>
      <c r="G26" s="53">
        <v>8.7663702506063057</v>
      </c>
      <c r="H26" s="51">
        <v>44.562382107248716</v>
      </c>
    </row>
    <row r="27" spans="2:12" ht="18.75" customHeight="1" x14ac:dyDescent="0.25">
      <c r="B27" s="237" t="s">
        <v>248</v>
      </c>
      <c r="C27" s="238"/>
      <c r="D27" s="62">
        <f>D18</f>
        <v>6.2834712497347756</v>
      </c>
      <c r="E27" s="62">
        <f t="shared" ref="E27:H27" si="1">E18</f>
        <v>9.1835349034585203</v>
      </c>
      <c r="F27" s="62">
        <f t="shared" si="1"/>
        <v>5.8001273074474868</v>
      </c>
      <c r="G27" s="62">
        <f t="shared" si="1"/>
        <v>10.633566730320391</v>
      </c>
      <c r="H27" s="62">
        <f t="shared" si="1"/>
        <v>31.900700190961174</v>
      </c>
      <c r="I27" s="54"/>
      <c r="J27" s="54"/>
      <c r="K27" s="54"/>
      <c r="L27" s="54"/>
    </row>
    <row r="28" spans="2:12" ht="15" customHeight="1" x14ac:dyDescent="0.2">
      <c r="B28" s="236" t="s">
        <v>605</v>
      </c>
      <c r="C28" s="50" t="s">
        <v>595</v>
      </c>
      <c r="D28" s="51">
        <v>36.734139613834081</v>
      </c>
      <c r="E28" s="52">
        <v>26.58391682580098</v>
      </c>
      <c r="F28" s="52">
        <v>19.817101633778911</v>
      </c>
      <c r="G28" s="53">
        <v>29.967324421812016</v>
      </c>
      <c r="H28" s="51">
        <v>113.10248249522597</v>
      </c>
      <c r="I28" s="54"/>
    </row>
    <row r="29" spans="2:12" ht="16.5" customHeight="1" x14ac:dyDescent="0.2">
      <c r="B29" s="234"/>
      <c r="C29" s="55" t="s">
        <v>578</v>
      </c>
      <c r="D29" s="56">
        <v>36.140958983246676</v>
      </c>
      <c r="E29" s="57">
        <v>24.846909300982091</v>
      </c>
      <c r="F29" s="57">
        <v>16.715193529751591</v>
      </c>
      <c r="G29" s="58">
        <v>27.557481224725592</v>
      </c>
      <c r="H29" s="56">
        <v>105.26054303870596</v>
      </c>
      <c r="I29" s="54"/>
    </row>
    <row r="30" spans="2:12" ht="15" customHeight="1" x14ac:dyDescent="0.2">
      <c r="B30" s="234"/>
      <c r="C30" s="50" t="s">
        <v>598</v>
      </c>
      <c r="D30" s="51">
        <v>33.183126461593815</v>
      </c>
      <c r="E30" s="52">
        <v>22.682137075013493</v>
      </c>
      <c r="F30" s="52">
        <v>16.381543443065301</v>
      </c>
      <c r="G30" s="53">
        <v>26.462493254182409</v>
      </c>
      <c r="H30" s="51">
        <v>98.709300233855018</v>
      </c>
      <c r="I30" s="54"/>
    </row>
    <row r="31" spans="2:12" ht="15" customHeight="1" x14ac:dyDescent="0.2">
      <c r="B31" s="234"/>
      <c r="C31" s="55" t="s">
        <v>580</v>
      </c>
      <c r="D31" s="56">
        <v>33.116504854368934</v>
      </c>
      <c r="E31" s="57">
        <v>24.939590075512402</v>
      </c>
      <c r="F31" s="57">
        <v>21.259978425026969</v>
      </c>
      <c r="G31" s="58">
        <v>28.619201725997844</v>
      </c>
      <c r="H31" s="56">
        <v>107.93527508090615</v>
      </c>
      <c r="I31" s="54"/>
    </row>
    <row r="32" spans="2:12" ht="15" customHeight="1" x14ac:dyDescent="0.2">
      <c r="B32" s="234"/>
      <c r="C32" s="50" t="s">
        <v>601</v>
      </c>
      <c r="D32" s="51">
        <v>29.893187066974598</v>
      </c>
      <c r="E32" s="52">
        <v>24.711701308699002</v>
      </c>
      <c r="F32" s="52">
        <v>21.124518860662047</v>
      </c>
      <c r="G32" s="53">
        <v>22.718822170900694</v>
      </c>
      <c r="H32" s="51">
        <v>98.448229407236326</v>
      </c>
      <c r="I32" s="54"/>
    </row>
    <row r="33" spans="2:21" ht="15" customHeight="1" x14ac:dyDescent="0.2">
      <c r="B33" s="234"/>
      <c r="C33" s="55" t="s">
        <v>602</v>
      </c>
      <c r="D33" s="57">
        <v>34.149532710280376</v>
      </c>
      <c r="E33" s="57">
        <v>20.803738317757009</v>
      </c>
      <c r="F33" s="59">
        <v>20.803738317757009</v>
      </c>
      <c r="G33" s="58">
        <v>22.766355140186914</v>
      </c>
      <c r="H33" s="57">
        <v>98.523364485981304</v>
      </c>
      <c r="I33" s="54"/>
      <c r="K33" s="250" t="s">
        <v>698</v>
      </c>
      <c r="L33" s="250"/>
      <c r="M33" s="250"/>
      <c r="N33" s="250"/>
      <c r="O33" s="250"/>
      <c r="P33" s="250"/>
      <c r="Q33" s="250"/>
      <c r="R33" s="250"/>
      <c r="S33" s="250"/>
      <c r="T33" s="250"/>
    </row>
    <row r="34" spans="2:21" ht="15" customHeight="1" x14ac:dyDescent="0.25">
      <c r="B34" s="234"/>
      <c r="C34" s="50" t="s">
        <v>581</v>
      </c>
      <c r="D34" s="51">
        <v>40.543778801843317</v>
      </c>
      <c r="E34" s="52">
        <v>25.244239631336406</v>
      </c>
      <c r="F34" s="52">
        <v>21.41935483870968</v>
      </c>
      <c r="G34" s="53">
        <v>14.152073732718895</v>
      </c>
      <c r="H34" s="51">
        <v>101.35944700460828</v>
      </c>
      <c r="I34" s="54"/>
      <c r="J34" s="45"/>
      <c r="K34" s="250"/>
      <c r="L34" s="250"/>
      <c r="M34" s="250"/>
      <c r="N34" s="250"/>
      <c r="O34" s="250"/>
      <c r="P34" s="250"/>
      <c r="Q34" s="250"/>
      <c r="R34" s="250"/>
      <c r="S34" s="250"/>
      <c r="T34" s="250"/>
    </row>
    <row r="35" spans="2:21" ht="15" customHeight="1" x14ac:dyDescent="0.25">
      <c r="B35" s="234"/>
      <c r="C35" s="55" t="s">
        <v>582</v>
      </c>
      <c r="D35" s="57">
        <v>48.234457248541766</v>
      </c>
      <c r="E35" s="57">
        <v>31.166880068288521</v>
      </c>
      <c r="F35" s="59">
        <v>27.085502916488831</v>
      </c>
      <c r="G35" s="58">
        <v>18.180680039834968</v>
      </c>
      <c r="H35" s="57">
        <v>124.66752027315408</v>
      </c>
      <c r="I35" s="54"/>
      <c r="J35" s="63"/>
      <c r="K35" s="63"/>
      <c r="L35" s="63"/>
      <c r="M35" s="63"/>
      <c r="N35" s="63"/>
      <c r="O35" s="63"/>
      <c r="P35" s="63"/>
      <c r="Q35" s="63"/>
      <c r="R35" s="63"/>
      <c r="S35" s="63"/>
    </row>
    <row r="36" spans="2:21" ht="15" customHeight="1" x14ac:dyDescent="0.25">
      <c r="B36" s="235"/>
      <c r="C36" s="50" t="s">
        <v>583</v>
      </c>
      <c r="D36" s="51">
        <v>51.137159795203445</v>
      </c>
      <c r="E36" s="52">
        <v>38.352869846402584</v>
      </c>
      <c r="F36" s="52">
        <v>35.796011856642409</v>
      </c>
      <c r="G36" s="53">
        <v>18.993802209646994</v>
      </c>
      <c r="H36" s="51">
        <v>144.27984370789545</v>
      </c>
      <c r="I36" s="54"/>
      <c r="J36" s="63"/>
      <c r="K36" s="63"/>
      <c r="L36" s="63"/>
      <c r="M36" s="63"/>
      <c r="N36" s="63"/>
      <c r="O36" s="63"/>
      <c r="P36" s="63"/>
      <c r="Q36" s="63"/>
      <c r="R36" s="63"/>
      <c r="S36" s="63"/>
    </row>
    <row r="37" spans="2:21" ht="18" customHeight="1" x14ac:dyDescent="0.25">
      <c r="B37" s="237" t="s">
        <v>248</v>
      </c>
      <c r="C37" s="238"/>
      <c r="D37" s="62">
        <f>D28</f>
        <v>36.734139613834081</v>
      </c>
      <c r="E37" s="62">
        <f t="shared" ref="E37:H37" si="2">E28</f>
        <v>26.58391682580098</v>
      </c>
      <c r="F37" s="62">
        <f t="shared" si="2"/>
        <v>19.817101633778911</v>
      </c>
      <c r="G37" s="62">
        <f t="shared" si="2"/>
        <v>29.967324421812016</v>
      </c>
      <c r="H37" s="62">
        <f t="shared" si="2"/>
        <v>113.10248249522597</v>
      </c>
      <c r="I37" s="64"/>
      <c r="J37" s="64"/>
      <c r="K37" s="65"/>
    </row>
    <row r="38" spans="2:21" x14ac:dyDescent="0.2">
      <c r="B38" s="66" t="s">
        <v>606</v>
      </c>
      <c r="C38" s="67"/>
      <c r="D38" s="67"/>
      <c r="E38" s="67"/>
      <c r="F38" s="67"/>
      <c r="G38" s="67"/>
      <c r="H38" s="61"/>
      <c r="I38" s="67"/>
      <c r="J38" s="67"/>
    </row>
    <row r="39" spans="2:21" ht="15" customHeight="1" x14ac:dyDescent="0.2">
      <c r="B39" s="66" t="s">
        <v>607</v>
      </c>
      <c r="C39" s="67"/>
      <c r="D39" s="67"/>
      <c r="E39" s="67"/>
      <c r="F39" s="67"/>
      <c r="G39" s="67"/>
      <c r="H39" s="67"/>
      <c r="I39" s="68"/>
      <c r="J39" s="68"/>
      <c r="K39" s="69"/>
    </row>
    <row r="40" spans="2:21" ht="24.75" customHeight="1" x14ac:dyDescent="0.2">
      <c r="B40" s="231" t="s">
        <v>608</v>
      </c>
      <c r="C40" s="223"/>
      <c r="D40" s="223"/>
      <c r="E40" s="223"/>
      <c r="F40" s="223"/>
      <c r="G40" s="223"/>
      <c r="H40" s="223"/>
      <c r="I40" s="68"/>
      <c r="J40" s="68"/>
      <c r="K40" s="69"/>
    </row>
    <row r="41" spans="2:21" ht="36" customHeight="1" x14ac:dyDescent="0.2">
      <c r="B41" s="232" t="s">
        <v>609</v>
      </c>
      <c r="C41" s="232"/>
      <c r="D41" s="232"/>
      <c r="E41" s="232"/>
      <c r="F41" s="232"/>
      <c r="G41" s="232"/>
      <c r="H41" s="232"/>
      <c r="I41" s="68"/>
      <c r="J41" s="68"/>
      <c r="K41" s="69"/>
    </row>
    <row r="42" spans="2:21" ht="39" customHeight="1" x14ac:dyDescent="0.2">
      <c r="B42" s="71"/>
      <c r="C42" s="71"/>
      <c r="D42" s="71"/>
      <c r="E42" s="71"/>
      <c r="F42" s="71"/>
      <c r="G42" s="71"/>
      <c r="H42" s="71"/>
      <c r="I42" s="72"/>
      <c r="J42" s="72"/>
      <c r="K42" s="72"/>
      <c r="L42" s="72"/>
    </row>
    <row r="43" spans="2:21" ht="32.25" customHeight="1" x14ac:dyDescent="0.2">
      <c r="B43" s="73" t="s">
        <v>610</v>
      </c>
      <c r="D43" s="54"/>
      <c r="E43" s="54"/>
      <c r="F43" s="54"/>
      <c r="G43" s="54"/>
      <c r="H43" s="54"/>
      <c r="I43" s="72"/>
      <c r="J43" s="72"/>
      <c r="K43" s="72"/>
      <c r="L43" s="72"/>
    </row>
    <row r="44" spans="2:21" x14ac:dyDescent="0.2">
      <c r="G44" s="74"/>
      <c r="H44" s="72"/>
      <c r="I44" s="72"/>
      <c r="J44" s="72"/>
      <c r="K44" s="72"/>
      <c r="L44" s="72"/>
    </row>
    <row r="45" spans="2:21" ht="16.5" customHeight="1" x14ac:dyDescent="0.2">
      <c r="B45" s="41" t="s">
        <v>103</v>
      </c>
      <c r="H45" s="72"/>
      <c r="I45" s="75"/>
      <c r="J45" s="75"/>
      <c r="L45" s="251"/>
      <c r="M45" s="251"/>
      <c r="N45" s="251"/>
      <c r="O45" s="251"/>
      <c r="P45" s="251"/>
      <c r="Q45" s="251"/>
      <c r="R45" s="251"/>
      <c r="S45" s="251"/>
      <c r="T45" s="251"/>
      <c r="U45" s="251"/>
    </row>
    <row r="46" spans="2:21" ht="43.9" customHeight="1" x14ac:dyDescent="0.25">
      <c r="B46" s="250" t="s">
        <v>611</v>
      </c>
      <c r="C46" s="250"/>
      <c r="D46" s="250"/>
      <c r="E46" s="250"/>
      <c r="F46" s="250"/>
      <c r="G46" s="250"/>
      <c r="H46" s="250"/>
      <c r="I46" s="77"/>
    </row>
    <row r="47" spans="2:21" ht="15" x14ac:dyDescent="0.25">
      <c r="B47" s="41" t="s">
        <v>196</v>
      </c>
      <c r="C47" s="77"/>
      <c r="D47" s="77"/>
      <c r="E47" s="77"/>
      <c r="F47" s="77"/>
      <c r="G47" s="77"/>
      <c r="H47" s="77"/>
    </row>
    <row r="48" spans="2:21" ht="60.75" thickBot="1" x14ac:dyDescent="0.3">
      <c r="B48" s="46"/>
      <c r="C48" s="78" t="s">
        <v>197</v>
      </c>
      <c r="D48" s="78" t="s">
        <v>612</v>
      </c>
      <c r="E48" s="47" t="s">
        <v>199</v>
      </c>
      <c r="F48" s="46" t="s">
        <v>200</v>
      </c>
    </row>
    <row r="49" spans="2:11" ht="14.25" customHeight="1" thickTop="1" x14ac:dyDescent="0.2">
      <c r="B49" s="233" t="s">
        <v>594</v>
      </c>
      <c r="C49" s="50" t="s">
        <v>595</v>
      </c>
      <c r="D49" s="51">
        <f t="shared" ref="D49:D78" si="3">D8</f>
        <v>30.450668364099304</v>
      </c>
      <c r="E49" s="79"/>
      <c r="F49" s="80"/>
    </row>
    <row r="50" spans="2:11" ht="14.25" customHeight="1" x14ac:dyDescent="0.2">
      <c r="B50" s="234"/>
      <c r="C50" s="55" t="s">
        <v>578</v>
      </c>
      <c r="D50" s="56">
        <f t="shared" si="3"/>
        <v>29.364529173887931</v>
      </c>
      <c r="E50" s="81">
        <f t="shared" ref="E50:E57" si="4">(D50-$D$58)/$D$58</f>
        <v>-3.5668812822903691E-2</v>
      </c>
      <c r="F50" s="82">
        <f t="shared" ref="F50:F57" si="5">(D50-D49)/D49</f>
        <v>-3.5668812822903691E-2</v>
      </c>
    </row>
    <row r="51" spans="2:11" ht="14.25" customHeight="1" x14ac:dyDescent="0.2">
      <c r="B51" s="234"/>
      <c r="C51" s="50" t="s">
        <v>598</v>
      </c>
      <c r="D51" s="51">
        <f t="shared" si="3"/>
        <v>27.302572405108833</v>
      </c>
      <c r="E51" s="79">
        <f t="shared" si="4"/>
        <v>-0.10338347655784165</v>
      </c>
      <c r="F51" s="80">
        <f t="shared" si="5"/>
        <v>-7.0219302906878167E-2</v>
      </c>
    </row>
    <row r="52" spans="2:11" ht="14.25" customHeight="1" x14ac:dyDescent="0.2">
      <c r="B52" s="234"/>
      <c r="C52" s="55" t="s">
        <v>580</v>
      </c>
      <c r="D52" s="56">
        <f t="shared" si="3"/>
        <v>24.939590075512402</v>
      </c>
      <c r="E52" s="81">
        <f t="shared" si="4"/>
        <v>-0.1809838202134291</v>
      </c>
      <c r="F52" s="82">
        <f t="shared" si="5"/>
        <v>-8.654797410790023E-2</v>
      </c>
    </row>
    <row r="53" spans="2:11" ht="14.25" customHeight="1" x14ac:dyDescent="0.2">
      <c r="B53" s="234"/>
      <c r="C53" s="50" t="s">
        <v>601</v>
      </c>
      <c r="D53" s="51">
        <f t="shared" si="3"/>
        <v>22.718822170900694</v>
      </c>
      <c r="E53" s="79">
        <f t="shared" si="4"/>
        <v>-0.25391384191469157</v>
      </c>
      <c r="F53" s="80">
        <f t="shared" si="5"/>
        <v>-8.9045886395391419E-2</v>
      </c>
    </row>
    <row r="54" spans="2:11" ht="14.25" customHeight="1" x14ac:dyDescent="0.2">
      <c r="B54" s="234"/>
      <c r="C54" s="55" t="s">
        <v>602</v>
      </c>
      <c r="D54" s="56">
        <f t="shared" si="3"/>
        <v>22.766355140186914</v>
      </c>
      <c r="E54" s="81">
        <f t="shared" si="4"/>
        <v>-0.2523528591238422</v>
      </c>
      <c r="F54" s="82">
        <f t="shared" si="5"/>
        <v>2.0922285904021046E-3</v>
      </c>
    </row>
    <row r="55" spans="2:11" ht="14.25" customHeight="1" x14ac:dyDescent="0.2">
      <c r="B55" s="234"/>
      <c r="C55" s="50" t="s">
        <v>581</v>
      </c>
      <c r="D55" s="51">
        <f t="shared" si="3"/>
        <v>28.30414746543779</v>
      </c>
      <c r="E55" s="79">
        <f t="shared" si="4"/>
        <v>-7.0491749901694004E-2</v>
      </c>
      <c r="F55" s="80">
        <f t="shared" si="5"/>
        <v>0.24324457257875362</v>
      </c>
    </row>
    <row r="56" spans="2:11" ht="14.25" customHeight="1" x14ac:dyDescent="0.2">
      <c r="B56" s="234"/>
      <c r="C56" s="55" t="s">
        <v>582</v>
      </c>
      <c r="D56" s="56">
        <f t="shared" si="3"/>
        <v>35.619291506615447</v>
      </c>
      <c r="E56" s="81">
        <f t="shared" si="4"/>
        <v>0.16973759264377397</v>
      </c>
      <c r="F56" s="82">
        <f t="shared" si="5"/>
        <v>0.25844777872607483</v>
      </c>
    </row>
    <row r="57" spans="2:11" ht="14.25" customHeight="1" x14ac:dyDescent="0.2">
      <c r="B57" s="235"/>
      <c r="C57" s="50" t="s">
        <v>583</v>
      </c>
      <c r="D57" s="51">
        <f t="shared" si="3"/>
        <v>38.718135273511187</v>
      </c>
      <c r="E57" s="79">
        <f t="shared" si="4"/>
        <v>0.27150362713085974</v>
      </c>
      <c r="F57" s="80">
        <f t="shared" si="5"/>
        <v>8.6999028779676954E-2</v>
      </c>
    </row>
    <row r="58" spans="2:11" ht="18" customHeight="1" x14ac:dyDescent="0.25">
      <c r="B58" s="237" t="s">
        <v>248</v>
      </c>
      <c r="C58" s="238"/>
      <c r="D58" s="62">
        <f t="shared" si="3"/>
        <v>30.450668364099304</v>
      </c>
      <c r="E58" s="62"/>
      <c r="F58" s="62"/>
    </row>
    <row r="59" spans="2:11" ht="14.25" customHeight="1" x14ac:dyDescent="0.2">
      <c r="B59" s="236" t="s">
        <v>604</v>
      </c>
      <c r="C59" s="50" t="s">
        <v>595</v>
      </c>
      <c r="D59" s="51">
        <f t="shared" si="3"/>
        <v>6.2834712497347756</v>
      </c>
      <c r="E59" s="79"/>
      <c r="F59" s="80"/>
    </row>
    <row r="60" spans="2:11" ht="14.25" customHeight="1" x14ac:dyDescent="0.2">
      <c r="B60" s="234"/>
      <c r="C60" s="55" t="s">
        <v>578</v>
      </c>
      <c r="D60" s="56">
        <f t="shared" si="3"/>
        <v>6.7764298093587518</v>
      </c>
      <c r="E60" s="81" t="s">
        <v>301</v>
      </c>
      <c r="F60" s="82" t="s">
        <v>301</v>
      </c>
    </row>
    <row r="61" spans="2:11" ht="14.25" customHeight="1" x14ac:dyDescent="0.2">
      <c r="B61" s="234"/>
      <c r="C61" s="50" t="s">
        <v>598</v>
      </c>
      <c r="D61" s="51">
        <f t="shared" si="3"/>
        <v>5.8805540564849803</v>
      </c>
      <c r="E61" s="79" t="s">
        <v>301</v>
      </c>
      <c r="F61" s="80" t="s">
        <v>301</v>
      </c>
      <c r="I61" s="54"/>
      <c r="J61" s="54"/>
      <c r="K61" s="54"/>
    </row>
    <row r="62" spans="2:11" ht="14.25" customHeight="1" x14ac:dyDescent="0.2">
      <c r="B62" s="234"/>
      <c r="C62" s="55" t="s">
        <v>580</v>
      </c>
      <c r="D62" s="56">
        <f t="shared" si="3"/>
        <v>8.1769147788565277</v>
      </c>
      <c r="E62" s="81" t="s">
        <v>301</v>
      </c>
      <c r="F62" s="82" t="s">
        <v>301</v>
      </c>
      <c r="I62" s="54"/>
      <c r="J62" s="54"/>
      <c r="K62" s="54"/>
    </row>
    <row r="63" spans="2:11" ht="14.25" customHeight="1" x14ac:dyDescent="0.2">
      <c r="B63" s="234"/>
      <c r="C63" s="50" t="s">
        <v>601</v>
      </c>
      <c r="D63" s="51">
        <f t="shared" si="3"/>
        <v>7.1743648960739028</v>
      </c>
      <c r="E63" s="79" t="s">
        <v>301</v>
      </c>
      <c r="F63" s="80" t="s">
        <v>301</v>
      </c>
      <c r="I63" s="54"/>
      <c r="J63" s="54"/>
      <c r="K63" s="54"/>
    </row>
    <row r="64" spans="2:11" ht="14.25" customHeight="1" x14ac:dyDescent="0.2">
      <c r="B64" s="234"/>
      <c r="C64" s="55" t="s">
        <v>602</v>
      </c>
      <c r="D64" s="56">
        <f t="shared" si="3"/>
        <v>11.383177570093457</v>
      </c>
      <c r="E64" s="81" t="s">
        <v>301</v>
      </c>
      <c r="F64" s="82" t="s">
        <v>301</v>
      </c>
      <c r="I64" s="54"/>
      <c r="J64" s="54"/>
      <c r="K64" s="54"/>
    </row>
    <row r="65" spans="2:11" ht="14.25" customHeight="1" x14ac:dyDescent="0.2">
      <c r="B65" s="234"/>
      <c r="C65" s="50" t="s">
        <v>581</v>
      </c>
      <c r="D65" s="51">
        <f t="shared" si="3"/>
        <v>12.23963133640553</v>
      </c>
      <c r="E65" s="79" t="s">
        <v>301</v>
      </c>
      <c r="F65" s="80" t="s">
        <v>301</v>
      </c>
      <c r="I65" s="54"/>
      <c r="J65" s="54"/>
      <c r="K65" s="54"/>
    </row>
    <row r="66" spans="2:11" ht="14.25" customHeight="1" x14ac:dyDescent="0.2">
      <c r="B66" s="234"/>
      <c r="C66" s="55" t="s">
        <v>582</v>
      </c>
      <c r="D66" s="56">
        <f t="shared" si="3"/>
        <v>12.615165741926306</v>
      </c>
      <c r="E66" s="81" t="s">
        <v>301</v>
      </c>
      <c r="F66" s="82" t="s">
        <v>301</v>
      </c>
      <c r="I66" s="54"/>
      <c r="J66" s="54"/>
      <c r="K66" s="54"/>
    </row>
    <row r="67" spans="2:11" ht="14.25" customHeight="1" x14ac:dyDescent="0.2">
      <c r="B67" s="235"/>
      <c r="C67" s="50" t="s">
        <v>583</v>
      </c>
      <c r="D67" s="51">
        <f t="shared" si="3"/>
        <v>12.419024521692267</v>
      </c>
      <c r="E67" s="79"/>
      <c r="F67" s="80"/>
      <c r="I67" s="54"/>
      <c r="J67" s="54"/>
      <c r="K67" s="54"/>
    </row>
    <row r="68" spans="2:11" ht="18" customHeight="1" x14ac:dyDescent="0.25">
      <c r="B68" s="237" t="s">
        <v>248</v>
      </c>
      <c r="C68" s="238"/>
      <c r="D68" s="62">
        <f t="shared" si="3"/>
        <v>6.2834712497347756</v>
      </c>
      <c r="E68" s="62"/>
      <c r="F68" s="62"/>
      <c r="G68" s="54"/>
      <c r="H68" s="54"/>
      <c r="I68" s="54"/>
      <c r="J68" s="54"/>
      <c r="K68" s="54"/>
    </row>
    <row r="69" spans="2:11" ht="14.25" customHeight="1" x14ac:dyDescent="0.2">
      <c r="B69" s="236" t="s">
        <v>605</v>
      </c>
      <c r="C69" s="50" t="s">
        <v>595</v>
      </c>
      <c r="D69" s="51">
        <f t="shared" si="3"/>
        <v>36.734139613834081</v>
      </c>
      <c r="E69" s="79"/>
      <c r="F69" s="80"/>
    </row>
    <row r="70" spans="2:11" ht="14.25" customHeight="1" x14ac:dyDescent="0.2">
      <c r="B70" s="234"/>
      <c r="C70" s="55" t="s">
        <v>578</v>
      </c>
      <c r="D70" s="56">
        <f t="shared" si="3"/>
        <v>36.140958983246676</v>
      </c>
      <c r="E70" s="81">
        <f t="shared" ref="E70:E77" si="6">(D70-$D$78)/$D$78</f>
        <v>-1.6147938588549734E-2</v>
      </c>
      <c r="F70" s="82">
        <f t="shared" ref="F70:F77" si="7">(D70-D69)/D69</f>
        <v>-1.6147938588549734E-2</v>
      </c>
      <c r="I70" s="67"/>
      <c r="J70" s="67"/>
    </row>
    <row r="71" spans="2:11" ht="14.25" customHeight="1" x14ac:dyDescent="0.2">
      <c r="B71" s="234"/>
      <c r="C71" s="50" t="s">
        <v>598</v>
      </c>
      <c r="D71" s="51">
        <f t="shared" si="3"/>
        <v>33.183126461593815</v>
      </c>
      <c r="E71" s="79">
        <f t="shared" si="6"/>
        <v>-9.6667927698052145E-2</v>
      </c>
      <c r="F71" s="80">
        <f t="shared" si="7"/>
        <v>-8.1841561620541931E-2</v>
      </c>
      <c r="G71" s="67"/>
      <c r="H71" s="67"/>
      <c r="I71" s="67"/>
      <c r="J71" s="67"/>
    </row>
    <row r="72" spans="2:11" ht="14.25" customHeight="1" x14ac:dyDescent="0.2">
      <c r="B72" s="234"/>
      <c r="C72" s="55" t="s">
        <v>580</v>
      </c>
      <c r="D72" s="56">
        <f t="shared" si="3"/>
        <v>33.116504854368934</v>
      </c>
      <c r="E72" s="81">
        <f t="shared" si="6"/>
        <v>-9.8481543259087131E-2</v>
      </c>
      <c r="F72" s="82">
        <f t="shared" si="7"/>
        <v>-2.0076953056846359E-3</v>
      </c>
      <c r="G72" s="67"/>
      <c r="H72" s="67"/>
      <c r="I72" s="67"/>
      <c r="J72" s="67"/>
    </row>
    <row r="73" spans="2:11" ht="14.25" customHeight="1" x14ac:dyDescent="0.2">
      <c r="B73" s="234"/>
      <c r="C73" s="50" t="s">
        <v>601</v>
      </c>
      <c r="D73" s="51">
        <f t="shared" si="3"/>
        <v>29.893187066974598</v>
      </c>
      <c r="E73" s="79">
        <f t="shared" si="6"/>
        <v>-0.1862287403155396</v>
      </c>
      <c r="F73" s="80">
        <f t="shared" si="7"/>
        <v>-9.7332668455472476E-2</v>
      </c>
      <c r="G73" s="67"/>
      <c r="H73" s="67"/>
      <c r="I73" s="67"/>
      <c r="J73" s="67"/>
    </row>
    <row r="74" spans="2:11" ht="14.25" customHeight="1" x14ac:dyDescent="0.2">
      <c r="B74" s="234"/>
      <c r="C74" s="55" t="s">
        <v>602</v>
      </c>
      <c r="D74" s="56">
        <f t="shared" si="3"/>
        <v>34.149532710280376</v>
      </c>
      <c r="E74" s="81">
        <f t="shared" si="6"/>
        <v>-7.035980509477735E-2</v>
      </c>
      <c r="F74" s="82">
        <f t="shared" si="7"/>
        <v>0.14238514059305857</v>
      </c>
      <c r="G74" s="67"/>
      <c r="H74" s="67"/>
      <c r="I74" s="67"/>
      <c r="J74" s="67"/>
    </row>
    <row r="75" spans="2:11" ht="14.25" customHeight="1" x14ac:dyDescent="0.2">
      <c r="B75" s="234"/>
      <c r="C75" s="50" t="s">
        <v>581</v>
      </c>
      <c r="D75" s="51">
        <f t="shared" si="3"/>
        <v>40.543778801843317</v>
      </c>
      <c r="E75" s="79">
        <f t="shared" si="6"/>
        <v>0.10370840934503676</v>
      </c>
      <c r="F75" s="80">
        <f t="shared" si="7"/>
        <v>0.18724256480493559</v>
      </c>
      <c r="G75" s="67"/>
      <c r="H75" s="67"/>
      <c r="I75" s="67"/>
      <c r="J75" s="67"/>
    </row>
    <row r="76" spans="2:11" ht="14.25" customHeight="1" x14ac:dyDescent="0.2">
      <c r="B76" s="234"/>
      <c r="C76" s="55" t="s">
        <v>582</v>
      </c>
      <c r="D76" s="56">
        <f t="shared" si="3"/>
        <v>48.234457248541766</v>
      </c>
      <c r="E76" s="81">
        <f t="shared" si="6"/>
        <v>0.31306892595292102</v>
      </c>
      <c r="F76" s="82">
        <f t="shared" si="7"/>
        <v>0.18968824993561759</v>
      </c>
      <c r="G76" s="67"/>
      <c r="H76" s="67"/>
      <c r="I76" s="67"/>
      <c r="J76" s="67"/>
    </row>
    <row r="77" spans="2:11" ht="14.25" customHeight="1" x14ac:dyDescent="0.2">
      <c r="B77" s="235"/>
      <c r="C77" s="50" t="s">
        <v>583</v>
      </c>
      <c r="D77" s="51">
        <f t="shared" si="3"/>
        <v>51.137159795203445</v>
      </c>
      <c r="E77" s="79">
        <f t="shared" si="6"/>
        <v>0.39208813198785752</v>
      </c>
      <c r="F77" s="80">
        <f t="shared" si="7"/>
        <v>6.0179023715446374E-2</v>
      </c>
      <c r="G77" s="67"/>
      <c r="H77" s="67"/>
      <c r="I77" s="67"/>
      <c r="J77" s="67"/>
    </row>
    <row r="78" spans="2:11" ht="18" customHeight="1" x14ac:dyDescent="0.25">
      <c r="B78" s="237" t="s">
        <v>248</v>
      </c>
      <c r="C78" s="238"/>
      <c r="D78" s="62">
        <f t="shared" si="3"/>
        <v>36.734139613834081</v>
      </c>
      <c r="E78" s="62"/>
      <c r="F78" s="62"/>
      <c r="G78" s="67"/>
      <c r="H78" s="67"/>
      <c r="I78" s="68"/>
      <c r="J78" s="68"/>
      <c r="K78" s="69"/>
    </row>
    <row r="79" spans="2:11" x14ac:dyDescent="0.2">
      <c r="B79" s="66" t="s">
        <v>606</v>
      </c>
      <c r="C79" s="67"/>
      <c r="D79" s="67"/>
      <c r="E79" s="67"/>
      <c r="F79" s="67"/>
    </row>
    <row r="80" spans="2:11" ht="14.25" customHeight="1" x14ac:dyDescent="0.2">
      <c r="B80" s="66" t="s">
        <v>607</v>
      </c>
      <c r="C80" s="67"/>
      <c r="D80" s="67"/>
      <c r="E80" s="67"/>
      <c r="F80" s="67"/>
    </row>
    <row r="81" spans="2:21" ht="24.75" customHeight="1" x14ac:dyDescent="0.2">
      <c r="B81" s="231" t="s">
        <v>608</v>
      </c>
      <c r="C81" s="223"/>
      <c r="D81" s="223"/>
      <c r="E81" s="223"/>
      <c r="F81" s="223"/>
      <c r="G81" s="223"/>
      <c r="H81" s="223"/>
    </row>
    <row r="82" spans="2:21" ht="35.25" customHeight="1" x14ac:dyDescent="0.2">
      <c r="B82" s="232" t="s">
        <v>609</v>
      </c>
      <c r="C82" s="232"/>
      <c r="D82" s="232"/>
      <c r="E82" s="232"/>
      <c r="F82" s="232"/>
      <c r="G82" s="232"/>
      <c r="I82" s="75"/>
      <c r="J82" s="75"/>
      <c r="L82" s="251"/>
      <c r="M82" s="251"/>
      <c r="N82" s="251"/>
      <c r="O82" s="251"/>
      <c r="P82" s="251"/>
      <c r="Q82" s="251"/>
      <c r="R82" s="251"/>
      <c r="S82" s="251"/>
      <c r="T82" s="251"/>
      <c r="U82" s="251"/>
    </row>
    <row r="83" spans="2:21" ht="40.5" customHeight="1" x14ac:dyDescent="0.25">
      <c r="I83" s="77"/>
    </row>
    <row r="84" spans="2:21" ht="15" x14ac:dyDescent="0.2">
      <c r="B84" s="73" t="s">
        <v>610</v>
      </c>
      <c r="G84" s="43"/>
      <c r="H84" s="43"/>
    </row>
    <row r="85" spans="2:21" ht="15" customHeight="1" x14ac:dyDescent="0.25">
      <c r="G85" s="77"/>
      <c r="H85" s="77"/>
    </row>
    <row r="86" spans="2:21" x14ac:dyDescent="0.2">
      <c r="B86" s="41" t="s">
        <v>105</v>
      </c>
    </row>
    <row r="87" spans="2:21" ht="43.9" customHeight="1" x14ac:dyDescent="0.2">
      <c r="B87" s="250" t="s">
        <v>613</v>
      </c>
      <c r="C87" s="250"/>
      <c r="D87" s="250"/>
      <c r="E87" s="250"/>
      <c r="F87" s="250"/>
      <c r="G87" s="250"/>
      <c r="H87" s="250"/>
    </row>
    <row r="88" spans="2:21" ht="15" x14ac:dyDescent="0.25">
      <c r="B88" s="41" t="s">
        <v>196</v>
      </c>
      <c r="C88" s="77"/>
      <c r="D88" s="77"/>
      <c r="E88" s="77"/>
      <c r="F88" s="77"/>
    </row>
    <row r="89" spans="2:21" ht="60.75" thickBot="1" x14ac:dyDescent="0.3">
      <c r="B89" s="46"/>
      <c r="C89" s="78" t="s">
        <v>197</v>
      </c>
      <c r="D89" s="78" t="s">
        <v>612</v>
      </c>
      <c r="E89" s="47" t="s">
        <v>199</v>
      </c>
      <c r="F89" s="46" t="s">
        <v>200</v>
      </c>
    </row>
    <row r="90" spans="2:21" ht="14.25" customHeight="1" thickTop="1" x14ac:dyDescent="0.2">
      <c r="B90" s="233" t="s">
        <v>614</v>
      </c>
      <c r="C90" s="50" t="s">
        <v>595</v>
      </c>
      <c r="D90" s="51">
        <f t="shared" ref="D90:D119" si="8">E8</f>
        <v>17.400381922342461</v>
      </c>
      <c r="E90" s="79"/>
      <c r="F90" s="80"/>
    </row>
    <row r="91" spans="2:21" ht="14.25" customHeight="1" x14ac:dyDescent="0.2">
      <c r="B91" s="234"/>
      <c r="C91" s="55" t="s">
        <v>578</v>
      </c>
      <c r="D91" s="56">
        <f t="shared" si="8"/>
        <v>18.522241478913923</v>
      </c>
      <c r="E91" s="81">
        <f t="shared" ref="E91:E98" si="9">(D91-$D$99)/$D$99</f>
        <v>6.4473271999332948E-2</v>
      </c>
      <c r="F91" s="82">
        <f t="shared" ref="F91:F98" si="10">(D91-D90)/D90</f>
        <v>6.4473271999332948E-2</v>
      </c>
    </row>
    <row r="92" spans="2:21" ht="14.25" customHeight="1" x14ac:dyDescent="0.2">
      <c r="B92" s="234"/>
      <c r="C92" s="50" t="s">
        <v>598</v>
      </c>
      <c r="D92" s="51">
        <f t="shared" si="8"/>
        <v>17.221622593991725</v>
      </c>
      <c r="E92" s="79">
        <f t="shared" si="9"/>
        <v>-1.0273299123463807E-2</v>
      </c>
      <c r="F92" s="80">
        <f t="shared" si="10"/>
        <v>-7.0219302906878056E-2</v>
      </c>
    </row>
    <row r="93" spans="2:21" x14ac:dyDescent="0.2">
      <c r="B93" s="234"/>
      <c r="C93" s="55" t="s">
        <v>580</v>
      </c>
      <c r="D93" s="56">
        <f t="shared" si="8"/>
        <v>17.171521035598708</v>
      </c>
      <c r="E93" s="81">
        <f t="shared" si="9"/>
        <v>-1.3152635830934888E-2</v>
      </c>
      <c r="F93" s="82">
        <f t="shared" si="10"/>
        <v>-2.9092240362122617E-3</v>
      </c>
    </row>
    <row r="94" spans="2:21" x14ac:dyDescent="0.2">
      <c r="B94" s="234"/>
      <c r="C94" s="50" t="s">
        <v>601</v>
      </c>
      <c r="D94" s="51">
        <f t="shared" si="8"/>
        <v>15.943033102386453</v>
      </c>
      <c r="E94" s="79">
        <f t="shared" si="9"/>
        <v>-8.3753840947866878E-2</v>
      </c>
      <c r="F94" s="80">
        <f t="shared" si="10"/>
        <v>-7.1542173268486026E-2</v>
      </c>
    </row>
    <row r="95" spans="2:21" x14ac:dyDescent="0.2">
      <c r="B95" s="234"/>
      <c r="C95" s="55" t="s">
        <v>602</v>
      </c>
      <c r="D95" s="56">
        <f t="shared" si="8"/>
        <v>12.16822429906542</v>
      </c>
      <c r="E95" s="81">
        <f t="shared" si="9"/>
        <v>-0.30069211392186967</v>
      </c>
      <c r="F95" s="82">
        <f t="shared" si="10"/>
        <v>-0.23676854831067221</v>
      </c>
    </row>
    <row r="96" spans="2:21" x14ac:dyDescent="0.2">
      <c r="B96" s="234"/>
      <c r="C96" s="50" t="s">
        <v>581</v>
      </c>
      <c r="D96" s="51">
        <f t="shared" si="8"/>
        <v>17.211981566820278</v>
      </c>
      <c r="E96" s="79">
        <f t="shared" si="9"/>
        <v>-1.0827368983221784E-2</v>
      </c>
      <c r="F96" s="80">
        <f t="shared" si="10"/>
        <v>0.41450232538384779</v>
      </c>
    </row>
    <row r="97" spans="2:11" x14ac:dyDescent="0.2">
      <c r="B97" s="234"/>
      <c r="C97" s="55" t="s">
        <v>582</v>
      </c>
      <c r="D97" s="56">
        <f t="shared" si="8"/>
        <v>21.891022905107413</v>
      </c>
      <c r="E97" s="81">
        <f t="shared" si="9"/>
        <v>0.25807715042155899</v>
      </c>
      <c r="F97" s="82">
        <f t="shared" si="10"/>
        <v>0.27184791711065814</v>
      </c>
    </row>
    <row r="98" spans="2:11" x14ac:dyDescent="0.2">
      <c r="B98" s="235"/>
      <c r="C98" s="50" t="s">
        <v>583</v>
      </c>
      <c r="D98" s="51">
        <f t="shared" si="8"/>
        <v>27.029641606036112</v>
      </c>
      <c r="E98" s="79">
        <f t="shared" si="9"/>
        <v>0.55339358220232371</v>
      </c>
      <c r="F98" s="80">
        <f t="shared" si="10"/>
        <v>0.23473634481145256</v>
      </c>
    </row>
    <row r="99" spans="2:11" ht="18" customHeight="1" x14ac:dyDescent="0.25">
      <c r="B99" s="237" t="s">
        <v>248</v>
      </c>
      <c r="C99" s="238"/>
      <c r="D99" s="62">
        <f t="shared" si="8"/>
        <v>17.400381922342461</v>
      </c>
      <c r="E99" s="62"/>
      <c r="F99" s="62"/>
    </row>
    <row r="100" spans="2:11" ht="14.25" customHeight="1" x14ac:dyDescent="0.2">
      <c r="B100" s="236" t="s">
        <v>604</v>
      </c>
      <c r="C100" s="50" t="s">
        <v>595</v>
      </c>
      <c r="D100" s="51">
        <f t="shared" si="8"/>
        <v>9.1835349034585203</v>
      </c>
      <c r="E100" s="79"/>
      <c r="F100" s="80"/>
    </row>
    <row r="101" spans="2:11" ht="14.25" customHeight="1" x14ac:dyDescent="0.2">
      <c r="B101" s="234"/>
      <c r="C101" s="55" t="s">
        <v>578</v>
      </c>
      <c r="D101" s="56">
        <f t="shared" si="8"/>
        <v>6.3246678220681689</v>
      </c>
      <c r="E101" s="81" t="s">
        <v>301</v>
      </c>
      <c r="F101" s="82" t="s">
        <v>301</v>
      </c>
    </row>
    <row r="102" spans="2:11" ht="14.25" customHeight="1" x14ac:dyDescent="0.2">
      <c r="B102" s="234"/>
      <c r="C102" s="50" t="s">
        <v>598</v>
      </c>
      <c r="D102" s="51">
        <f t="shared" si="8"/>
        <v>5.4605144810217663</v>
      </c>
      <c r="E102" s="79" t="s">
        <v>301</v>
      </c>
      <c r="F102" s="80" t="s">
        <v>301</v>
      </c>
    </row>
    <row r="103" spans="2:11" x14ac:dyDescent="0.2">
      <c r="B103" s="234"/>
      <c r="C103" s="55" t="s">
        <v>580</v>
      </c>
      <c r="D103" s="56">
        <f t="shared" si="8"/>
        <v>7.7680690399136996</v>
      </c>
      <c r="E103" s="81" t="s">
        <v>301</v>
      </c>
      <c r="F103" s="82" t="s">
        <v>301</v>
      </c>
    </row>
    <row r="104" spans="2:11" x14ac:dyDescent="0.2">
      <c r="B104" s="234"/>
      <c r="C104" s="50" t="s">
        <v>601</v>
      </c>
      <c r="D104" s="51">
        <f t="shared" si="8"/>
        <v>8.7686682063125474</v>
      </c>
      <c r="E104" s="79" t="s">
        <v>301</v>
      </c>
      <c r="F104" s="80" t="s">
        <v>301</v>
      </c>
    </row>
    <row r="105" spans="2:11" x14ac:dyDescent="0.2">
      <c r="B105" s="234"/>
      <c r="C105" s="55" t="s">
        <v>602</v>
      </c>
      <c r="D105" s="56">
        <f t="shared" si="8"/>
        <v>8.6355140186915875</v>
      </c>
      <c r="E105" s="81" t="s">
        <v>301</v>
      </c>
      <c r="F105" s="82" t="s">
        <v>301</v>
      </c>
    </row>
    <row r="106" spans="2:11" x14ac:dyDescent="0.2">
      <c r="B106" s="234"/>
      <c r="C106" s="50" t="s">
        <v>581</v>
      </c>
      <c r="D106" s="51">
        <f t="shared" si="8"/>
        <v>8.0322580645161299</v>
      </c>
      <c r="E106" s="79" t="s">
        <v>301</v>
      </c>
      <c r="F106" s="80" t="s">
        <v>301</v>
      </c>
    </row>
    <row r="107" spans="2:11" x14ac:dyDescent="0.2">
      <c r="B107" s="234"/>
      <c r="C107" s="55" t="s">
        <v>582</v>
      </c>
      <c r="D107" s="56">
        <f t="shared" si="8"/>
        <v>9.275857163181108</v>
      </c>
      <c r="E107" s="81" t="s">
        <v>301</v>
      </c>
      <c r="F107" s="82" t="s">
        <v>301</v>
      </c>
    </row>
    <row r="108" spans="2:11" x14ac:dyDescent="0.2">
      <c r="B108" s="235"/>
      <c r="C108" s="50" t="s">
        <v>583</v>
      </c>
      <c r="D108" s="51">
        <f t="shared" si="8"/>
        <v>11.323228240366479</v>
      </c>
      <c r="E108" s="79" t="s">
        <v>301</v>
      </c>
      <c r="F108" s="80" t="s">
        <v>301</v>
      </c>
    </row>
    <row r="109" spans="2:11" ht="18" customHeight="1" x14ac:dyDescent="0.25">
      <c r="B109" s="237" t="s">
        <v>248</v>
      </c>
      <c r="C109" s="238"/>
      <c r="D109" s="62">
        <f t="shared" si="8"/>
        <v>9.1835349034585203</v>
      </c>
      <c r="E109" s="62"/>
      <c r="F109" s="62"/>
    </row>
    <row r="110" spans="2:11" ht="14.25" customHeight="1" x14ac:dyDescent="0.2">
      <c r="B110" s="236" t="s">
        <v>605</v>
      </c>
      <c r="C110" s="50" t="s">
        <v>595</v>
      </c>
      <c r="D110" s="51">
        <f t="shared" si="8"/>
        <v>26.58391682580098</v>
      </c>
      <c r="E110" s="79"/>
      <c r="F110" s="80"/>
      <c r="G110" s="67"/>
      <c r="H110" s="67"/>
      <c r="I110" s="68"/>
      <c r="J110" s="68"/>
      <c r="K110" s="69"/>
    </row>
    <row r="111" spans="2:11" ht="14.25" customHeight="1" x14ac:dyDescent="0.2">
      <c r="B111" s="234"/>
      <c r="C111" s="55" t="s">
        <v>578</v>
      </c>
      <c r="D111" s="56">
        <f t="shared" si="8"/>
        <v>24.846909300982091</v>
      </c>
      <c r="E111" s="81">
        <f t="shared" ref="E111:E118" si="11">(D111-$D$119)/$D$119</f>
        <v>-6.5340541659122217E-2</v>
      </c>
      <c r="F111" s="82">
        <f t="shared" ref="F111:F118" si="12">(D111-D110)/D110</f>
        <v>-6.5340541659122217E-2</v>
      </c>
      <c r="G111" s="70"/>
      <c r="H111" s="70"/>
    </row>
    <row r="112" spans="2:11" ht="14.25" customHeight="1" x14ac:dyDescent="0.2">
      <c r="B112" s="234"/>
      <c r="C112" s="50" t="s">
        <v>598</v>
      </c>
      <c r="D112" s="51">
        <f t="shared" si="8"/>
        <v>22.682137075013493</v>
      </c>
      <c r="E112" s="79">
        <f t="shared" si="11"/>
        <v>-0.14677219223769991</v>
      </c>
      <c r="F112" s="80">
        <f t="shared" si="12"/>
        <v>-8.7124406490389272E-2</v>
      </c>
      <c r="G112" s="68"/>
      <c r="H112" s="68"/>
    </row>
    <row r="113" spans="2:21" x14ac:dyDescent="0.2">
      <c r="B113" s="234"/>
      <c r="C113" s="55" t="s">
        <v>580</v>
      </c>
      <c r="D113" s="56">
        <f t="shared" si="8"/>
        <v>24.939590075512402</v>
      </c>
      <c r="E113" s="81">
        <f t="shared" si="11"/>
        <v>-6.1854194062655153E-2</v>
      </c>
      <c r="F113" s="82">
        <f t="shared" si="12"/>
        <v>9.9525586721971898E-2</v>
      </c>
      <c r="G113" s="68"/>
      <c r="H113" s="68"/>
    </row>
    <row r="114" spans="2:21" x14ac:dyDescent="0.2">
      <c r="B114" s="234"/>
      <c r="C114" s="50" t="s">
        <v>601</v>
      </c>
      <c r="D114" s="51">
        <f t="shared" si="8"/>
        <v>24.711701308699002</v>
      </c>
      <c r="E114" s="79">
        <f t="shared" si="11"/>
        <v>-7.0426624088926651E-2</v>
      </c>
      <c r="F114" s="80">
        <f t="shared" si="12"/>
        <v>-9.1376308160397175E-3</v>
      </c>
      <c r="G114" s="68"/>
      <c r="H114" s="68"/>
    </row>
    <row r="115" spans="2:21" x14ac:dyDescent="0.2">
      <c r="B115" s="234"/>
      <c r="C115" s="55" t="s">
        <v>602</v>
      </c>
      <c r="D115" s="56">
        <f t="shared" si="8"/>
        <v>20.803738317757009</v>
      </c>
      <c r="E115" s="81">
        <f t="shared" si="11"/>
        <v>-0.21743140959702476</v>
      </c>
      <c r="F115" s="82">
        <f t="shared" si="12"/>
        <v>-0.15814220729376952</v>
      </c>
      <c r="G115" s="68"/>
      <c r="H115" s="68"/>
    </row>
    <row r="116" spans="2:21" x14ac:dyDescent="0.2">
      <c r="B116" s="234"/>
      <c r="C116" s="50" t="s">
        <v>581</v>
      </c>
      <c r="D116" s="51">
        <f t="shared" si="8"/>
        <v>25.244239631336406</v>
      </c>
      <c r="E116" s="79">
        <f t="shared" si="11"/>
        <v>-5.0394274223892865E-2</v>
      </c>
      <c r="F116" s="80">
        <f t="shared" si="12"/>
        <v>0.21344727787645795</v>
      </c>
      <c r="G116" s="68"/>
      <c r="H116" s="68"/>
    </row>
    <row r="117" spans="2:21" x14ac:dyDescent="0.2">
      <c r="B117" s="234"/>
      <c r="C117" s="55" t="s">
        <v>582</v>
      </c>
      <c r="D117" s="56">
        <f t="shared" si="8"/>
        <v>31.166880068288521</v>
      </c>
      <c r="E117" s="81">
        <f t="shared" si="11"/>
        <v>0.17239608717250998</v>
      </c>
      <c r="F117" s="82">
        <f t="shared" si="12"/>
        <v>0.23461354049262667</v>
      </c>
      <c r="G117" s="68"/>
      <c r="H117" s="68"/>
    </row>
    <row r="118" spans="2:21" x14ac:dyDescent="0.2">
      <c r="B118" s="235"/>
      <c r="C118" s="50" t="s">
        <v>583</v>
      </c>
      <c r="D118" s="51">
        <f t="shared" si="8"/>
        <v>38.352869846402584</v>
      </c>
      <c r="E118" s="79">
        <f t="shared" si="11"/>
        <v>0.44270951860559782</v>
      </c>
      <c r="F118" s="80">
        <f t="shared" si="12"/>
        <v>0.2305649382411433</v>
      </c>
      <c r="G118" s="68"/>
      <c r="H118" s="68"/>
    </row>
    <row r="119" spans="2:21" ht="18" customHeight="1" x14ac:dyDescent="0.25">
      <c r="B119" s="237" t="s">
        <v>248</v>
      </c>
      <c r="C119" s="238"/>
      <c r="D119" s="62">
        <f t="shared" si="8"/>
        <v>26.58391682580098</v>
      </c>
      <c r="E119" s="62"/>
      <c r="F119" s="62"/>
      <c r="I119" s="75"/>
      <c r="J119" s="75"/>
      <c r="L119" s="251"/>
      <c r="M119" s="251"/>
      <c r="N119" s="251"/>
      <c r="O119" s="251"/>
      <c r="P119" s="251"/>
      <c r="Q119" s="251"/>
      <c r="R119" s="251"/>
      <c r="S119" s="251"/>
      <c r="T119" s="251"/>
      <c r="U119" s="251"/>
    </row>
    <row r="120" spans="2:21" ht="15" x14ac:dyDescent="0.25">
      <c r="B120" s="66" t="s">
        <v>606</v>
      </c>
      <c r="C120" s="67"/>
      <c r="D120" s="67"/>
      <c r="E120" s="67"/>
      <c r="F120" s="67"/>
      <c r="I120" s="77"/>
    </row>
    <row r="121" spans="2:21" ht="12.75" customHeight="1" x14ac:dyDescent="0.2">
      <c r="B121" s="66" t="s">
        <v>607</v>
      </c>
      <c r="C121" s="67"/>
      <c r="D121" s="67"/>
      <c r="E121" s="67"/>
      <c r="F121" s="67"/>
      <c r="G121" s="43"/>
      <c r="H121" s="43"/>
    </row>
    <row r="122" spans="2:21" ht="25.5" customHeight="1" x14ac:dyDescent="0.2">
      <c r="B122" s="231" t="s">
        <v>608</v>
      </c>
      <c r="C122" s="223"/>
      <c r="D122" s="223"/>
      <c r="E122" s="223"/>
      <c r="F122" s="223"/>
      <c r="G122" s="223"/>
      <c r="H122" s="223"/>
    </row>
    <row r="123" spans="2:21" ht="36" customHeight="1" x14ac:dyDescent="0.25">
      <c r="B123" s="232" t="s">
        <v>609</v>
      </c>
      <c r="C123" s="232"/>
      <c r="D123" s="232"/>
      <c r="E123" s="232"/>
      <c r="F123" s="232"/>
      <c r="G123" s="232"/>
      <c r="H123" s="77"/>
    </row>
    <row r="124" spans="2:21" ht="40.5" customHeight="1" x14ac:dyDescent="0.2">
      <c r="B124" s="68"/>
      <c r="C124" s="68"/>
      <c r="D124" s="68"/>
      <c r="E124" s="68"/>
      <c r="F124" s="68"/>
    </row>
    <row r="125" spans="2:21" ht="14.25" customHeight="1" x14ac:dyDescent="0.2">
      <c r="B125" s="73" t="s">
        <v>610</v>
      </c>
    </row>
    <row r="126" spans="2:21" ht="14.25" customHeight="1" x14ac:dyDescent="0.2"/>
    <row r="127" spans="2:21" x14ac:dyDescent="0.2">
      <c r="B127" s="41" t="s">
        <v>107</v>
      </c>
    </row>
    <row r="128" spans="2:21" ht="43.9" customHeight="1" x14ac:dyDescent="0.2">
      <c r="B128" s="250" t="s">
        <v>615</v>
      </c>
      <c r="C128" s="250"/>
      <c r="D128" s="250"/>
      <c r="E128" s="250"/>
      <c r="F128" s="250"/>
      <c r="G128" s="250"/>
      <c r="H128" s="250"/>
    </row>
    <row r="129" spans="2:6" ht="15" x14ac:dyDescent="0.25">
      <c r="B129" s="41" t="s">
        <v>196</v>
      </c>
      <c r="C129" s="77"/>
      <c r="D129" s="77"/>
      <c r="E129" s="77"/>
      <c r="F129" s="77"/>
    </row>
    <row r="130" spans="2:6" ht="60.75" thickBot="1" x14ac:dyDescent="0.3">
      <c r="B130" s="46"/>
      <c r="C130" s="78" t="s">
        <v>197</v>
      </c>
      <c r="D130" s="78" t="s">
        <v>612</v>
      </c>
      <c r="E130" s="47" t="s">
        <v>199</v>
      </c>
      <c r="F130" s="46" t="s">
        <v>200</v>
      </c>
    </row>
    <row r="131" spans="2:6" ht="14.25" customHeight="1" thickTop="1" x14ac:dyDescent="0.2">
      <c r="B131" s="233" t="s">
        <v>594</v>
      </c>
      <c r="C131" s="50" t="s">
        <v>595</v>
      </c>
      <c r="D131" s="51">
        <f t="shared" ref="D131:D160" si="13">F8</f>
        <v>14.016974326331425</v>
      </c>
      <c r="E131" s="79"/>
      <c r="F131" s="80"/>
    </row>
    <row r="132" spans="2:6" ht="14.25" customHeight="1" x14ac:dyDescent="0.2">
      <c r="B132" s="234"/>
      <c r="C132" s="55" t="s">
        <v>578</v>
      </c>
      <c r="D132" s="56">
        <f t="shared" si="13"/>
        <v>12.649335644136338</v>
      </c>
      <c r="E132" s="81">
        <f t="shared" ref="E132:E139" si="14">(D132-$D$140)/$D$140</f>
        <v>-9.7570178153635168E-2</v>
      </c>
      <c r="F132" s="82">
        <f t="shared" ref="F132:F139" si="15">(D132-D131)/D131</f>
        <v>-9.7570178153635168E-2</v>
      </c>
    </row>
    <row r="133" spans="2:6" ht="14.25" customHeight="1" x14ac:dyDescent="0.2">
      <c r="B133" s="234"/>
      <c r="C133" s="50" t="s">
        <v>598</v>
      </c>
      <c r="D133" s="51">
        <f t="shared" si="13"/>
        <v>12.181147688433171</v>
      </c>
      <c r="E133" s="79">
        <f t="shared" si="14"/>
        <v>-0.13097167727913886</v>
      </c>
      <c r="F133" s="80">
        <f t="shared" si="15"/>
        <v>-3.7012849439266603E-2</v>
      </c>
    </row>
    <row r="134" spans="2:6" x14ac:dyDescent="0.2">
      <c r="B134" s="234"/>
      <c r="C134" s="55" t="s">
        <v>580</v>
      </c>
      <c r="D134" s="56">
        <f t="shared" si="13"/>
        <v>13.491909385113269</v>
      </c>
      <c r="E134" s="81">
        <f t="shared" si="14"/>
        <v>-3.7459221155296089E-2</v>
      </c>
      <c r="F134" s="82">
        <f t="shared" si="15"/>
        <v>0.10760576344745867</v>
      </c>
    </row>
    <row r="135" spans="2:6" x14ac:dyDescent="0.2">
      <c r="B135" s="234"/>
      <c r="C135" s="50" t="s">
        <v>601</v>
      </c>
      <c r="D135" s="51">
        <f t="shared" si="13"/>
        <v>12.754426481909158</v>
      </c>
      <c r="E135" s="79">
        <f t="shared" si="14"/>
        <v>-9.007277997581277E-2</v>
      </c>
      <c r="F135" s="80">
        <f t="shared" si="15"/>
        <v>-5.4661121873367753E-2</v>
      </c>
    </row>
    <row r="136" spans="2:6" x14ac:dyDescent="0.2">
      <c r="B136" s="234"/>
      <c r="C136" s="55" t="s">
        <v>602</v>
      </c>
      <c r="D136" s="56">
        <f t="shared" si="13"/>
        <v>12.5607476635514</v>
      </c>
      <c r="E136" s="81">
        <f t="shared" si="14"/>
        <v>-0.1038902282958775</v>
      </c>
      <c r="F136" s="82">
        <f t="shared" si="15"/>
        <v>-1.5185223626673622E-2</v>
      </c>
    </row>
    <row r="137" spans="2:6" x14ac:dyDescent="0.2">
      <c r="B137" s="234"/>
      <c r="C137" s="50" t="s">
        <v>581</v>
      </c>
      <c r="D137" s="51">
        <f t="shared" si="13"/>
        <v>16.447004608294932</v>
      </c>
      <c r="E137" s="79">
        <f t="shared" si="14"/>
        <v>0.17336339679231644</v>
      </c>
      <c r="F137" s="80">
        <f t="shared" si="15"/>
        <v>0.30939694426157593</v>
      </c>
    </row>
    <row r="138" spans="2:6" x14ac:dyDescent="0.2">
      <c r="B138" s="234"/>
      <c r="C138" s="55" t="s">
        <v>582</v>
      </c>
      <c r="D138" s="56">
        <f t="shared" si="13"/>
        <v>18.551714326362216</v>
      </c>
      <c r="E138" s="81">
        <f t="shared" si="14"/>
        <v>0.3235177502973739</v>
      </c>
      <c r="F138" s="82">
        <f t="shared" si="15"/>
        <v>0.12796918151319711</v>
      </c>
    </row>
    <row r="139" spans="2:6" x14ac:dyDescent="0.2">
      <c r="B139" s="235"/>
      <c r="C139" s="50" t="s">
        <v>583</v>
      </c>
      <c r="D139" s="51">
        <f t="shared" si="13"/>
        <v>23.742252762058747</v>
      </c>
      <c r="E139" s="79">
        <f t="shared" si="14"/>
        <v>0.69382152020197485</v>
      </c>
      <c r="F139" s="80">
        <f t="shared" si="15"/>
        <v>0.27978753577078924</v>
      </c>
    </row>
    <row r="140" spans="2:6" ht="18" customHeight="1" x14ac:dyDescent="0.25">
      <c r="B140" s="237" t="s">
        <v>248</v>
      </c>
      <c r="C140" s="238"/>
      <c r="D140" s="62">
        <f t="shared" si="13"/>
        <v>14.016974326331425</v>
      </c>
      <c r="E140" s="62"/>
      <c r="F140" s="62"/>
    </row>
    <row r="141" spans="2:6" ht="14.25" customHeight="1" x14ac:dyDescent="0.2">
      <c r="B141" s="236" t="s">
        <v>604</v>
      </c>
      <c r="C141" s="50" t="s">
        <v>595</v>
      </c>
      <c r="D141" s="51">
        <f t="shared" si="13"/>
        <v>5.8001273074474868</v>
      </c>
      <c r="E141" s="79"/>
      <c r="F141" s="80"/>
    </row>
    <row r="142" spans="2:6" ht="14.25" customHeight="1" x14ac:dyDescent="0.2">
      <c r="B142" s="234"/>
      <c r="C142" s="55" t="s">
        <v>578</v>
      </c>
      <c r="D142" s="56">
        <f t="shared" si="13"/>
        <v>4.0658578856152516</v>
      </c>
      <c r="E142" s="81" t="s">
        <v>301</v>
      </c>
      <c r="F142" s="82" t="s">
        <v>301</v>
      </c>
    </row>
    <row r="143" spans="2:6" ht="14.25" customHeight="1" x14ac:dyDescent="0.2">
      <c r="B143" s="234"/>
      <c r="C143" s="50" t="s">
        <v>598</v>
      </c>
      <c r="D143" s="51">
        <f t="shared" si="13"/>
        <v>4.2003957546321287</v>
      </c>
      <c r="E143" s="79" t="s">
        <v>301</v>
      </c>
      <c r="F143" s="80" t="s">
        <v>301</v>
      </c>
    </row>
    <row r="144" spans="2:6" x14ac:dyDescent="0.2">
      <c r="B144" s="234"/>
      <c r="C144" s="55" t="s">
        <v>580</v>
      </c>
      <c r="D144" s="56">
        <f t="shared" si="13"/>
        <v>7.7680690399136996</v>
      </c>
      <c r="E144" s="81" t="s">
        <v>301</v>
      </c>
      <c r="F144" s="82" t="s">
        <v>301</v>
      </c>
    </row>
    <row r="145" spans="2:21" x14ac:dyDescent="0.2">
      <c r="B145" s="234"/>
      <c r="C145" s="50" t="s">
        <v>601</v>
      </c>
      <c r="D145" s="51">
        <f t="shared" si="13"/>
        <v>8.3700923787528865</v>
      </c>
      <c r="E145" s="79" t="s">
        <v>301</v>
      </c>
      <c r="F145" s="80" t="s">
        <v>301</v>
      </c>
    </row>
    <row r="146" spans="2:21" x14ac:dyDescent="0.2">
      <c r="B146" s="234"/>
      <c r="C146" s="55" t="s">
        <v>602</v>
      </c>
      <c r="D146" s="56">
        <f t="shared" si="13"/>
        <v>8.2429906542056059</v>
      </c>
      <c r="E146" s="81" t="s">
        <v>301</v>
      </c>
      <c r="F146" s="82" t="s">
        <v>301</v>
      </c>
    </row>
    <row r="147" spans="2:21" x14ac:dyDescent="0.2">
      <c r="B147" s="234"/>
      <c r="C147" s="50" t="s">
        <v>581</v>
      </c>
      <c r="D147" s="51">
        <f t="shared" si="13"/>
        <v>4.9723502304147456</v>
      </c>
      <c r="E147" s="79" t="s">
        <v>301</v>
      </c>
      <c r="F147" s="80" t="s">
        <v>301</v>
      </c>
    </row>
    <row r="148" spans="2:21" x14ac:dyDescent="0.2">
      <c r="B148" s="234"/>
      <c r="C148" s="55" t="s">
        <v>582</v>
      </c>
      <c r="D148" s="56">
        <f t="shared" si="13"/>
        <v>8.5337885901266191</v>
      </c>
      <c r="E148" s="81" t="s">
        <v>301</v>
      </c>
      <c r="F148" s="82" t="s">
        <v>301</v>
      </c>
    </row>
    <row r="149" spans="2:21" x14ac:dyDescent="0.2">
      <c r="B149" s="235"/>
      <c r="C149" s="50" t="s">
        <v>583</v>
      </c>
      <c r="D149" s="51">
        <f t="shared" si="13"/>
        <v>12.05375909458367</v>
      </c>
      <c r="E149" s="79" t="s">
        <v>301</v>
      </c>
      <c r="F149" s="80" t="s">
        <v>301</v>
      </c>
    </row>
    <row r="150" spans="2:21" ht="18" customHeight="1" x14ac:dyDescent="0.25">
      <c r="B150" s="237" t="s">
        <v>248</v>
      </c>
      <c r="C150" s="238"/>
      <c r="D150" s="62">
        <f t="shared" si="13"/>
        <v>5.8001273074474868</v>
      </c>
      <c r="E150" s="62"/>
      <c r="F150" s="62"/>
    </row>
    <row r="151" spans="2:21" ht="14.25" customHeight="1" x14ac:dyDescent="0.2">
      <c r="B151" s="236" t="s">
        <v>605</v>
      </c>
      <c r="C151" s="50" t="s">
        <v>595</v>
      </c>
      <c r="D151" s="51">
        <f t="shared" si="13"/>
        <v>19.817101633778911</v>
      </c>
      <c r="E151" s="79"/>
      <c r="F151" s="80"/>
    </row>
    <row r="152" spans="2:21" ht="14.25" customHeight="1" x14ac:dyDescent="0.2">
      <c r="B152" s="234"/>
      <c r="C152" s="55" t="s">
        <v>578</v>
      </c>
      <c r="D152" s="56">
        <f t="shared" si="13"/>
        <v>16.715193529751591</v>
      </c>
      <c r="E152" s="81">
        <f t="shared" ref="E152:E159" si="16">(D152-$D$160)/$D$160</f>
        <v>-0.15652683027774425</v>
      </c>
      <c r="F152" s="82">
        <f t="shared" ref="F152:F159" si="17">(D152-D151)/D151</f>
        <v>-0.15652683027774425</v>
      </c>
      <c r="G152" s="70"/>
      <c r="I152" s="75"/>
      <c r="J152" s="75"/>
      <c r="L152" s="251"/>
      <c r="M152" s="251"/>
      <c r="N152" s="251"/>
      <c r="O152" s="251"/>
      <c r="P152" s="251"/>
      <c r="Q152" s="251"/>
      <c r="R152" s="251"/>
      <c r="S152" s="251"/>
      <c r="T152" s="251"/>
      <c r="U152" s="251"/>
    </row>
    <row r="153" spans="2:21" ht="14.25" customHeight="1" x14ac:dyDescent="0.2">
      <c r="B153" s="234"/>
      <c r="C153" s="50" t="s">
        <v>598</v>
      </c>
      <c r="D153" s="51">
        <f t="shared" si="13"/>
        <v>16.381543443065301</v>
      </c>
      <c r="E153" s="79">
        <f t="shared" si="16"/>
        <v>-0.17336330277771736</v>
      </c>
      <c r="F153" s="80">
        <f t="shared" si="17"/>
        <v>-1.9960886847790453E-2</v>
      </c>
      <c r="I153" s="75"/>
      <c r="J153" s="75"/>
      <c r="L153" s="76"/>
      <c r="M153" s="76"/>
      <c r="N153" s="76"/>
      <c r="O153" s="76"/>
      <c r="P153" s="76"/>
      <c r="Q153" s="76"/>
      <c r="R153" s="76"/>
      <c r="S153" s="76"/>
      <c r="T153" s="76"/>
      <c r="U153" s="76"/>
    </row>
    <row r="154" spans="2:21" ht="15" x14ac:dyDescent="0.25">
      <c r="B154" s="234"/>
      <c r="C154" s="55" t="s">
        <v>580</v>
      </c>
      <c r="D154" s="56">
        <f t="shared" si="13"/>
        <v>21.259978425026969</v>
      </c>
      <c r="E154" s="81">
        <f t="shared" si="16"/>
        <v>7.2809678121074264E-2</v>
      </c>
      <c r="F154" s="82">
        <f t="shared" si="17"/>
        <v>0.29780069252429486</v>
      </c>
      <c r="I154" s="77"/>
    </row>
    <row r="155" spans="2:21" ht="15" x14ac:dyDescent="0.25">
      <c r="B155" s="234"/>
      <c r="C155" s="50" t="s">
        <v>601</v>
      </c>
      <c r="D155" s="51">
        <f t="shared" si="13"/>
        <v>21.124518860662047</v>
      </c>
      <c r="E155" s="79">
        <f t="shared" si="16"/>
        <v>6.5974189921628054E-2</v>
      </c>
      <c r="F155" s="80">
        <f t="shared" si="17"/>
        <v>-6.3715758152162877E-3</v>
      </c>
      <c r="I155" s="77"/>
    </row>
    <row r="156" spans="2:21" ht="15" x14ac:dyDescent="0.25">
      <c r="B156" s="234"/>
      <c r="C156" s="55" t="s">
        <v>602</v>
      </c>
      <c r="D156" s="56">
        <f t="shared" si="13"/>
        <v>20.803738317757009</v>
      </c>
      <c r="E156" s="81">
        <f t="shared" si="16"/>
        <v>4.9787133467405889E-2</v>
      </c>
      <c r="F156" s="82">
        <f t="shared" si="17"/>
        <v>-1.5185223626673603E-2</v>
      </c>
      <c r="I156" s="77"/>
    </row>
    <row r="157" spans="2:21" ht="15" x14ac:dyDescent="0.25">
      <c r="B157" s="234"/>
      <c r="C157" s="50" t="s">
        <v>581</v>
      </c>
      <c r="D157" s="51">
        <f t="shared" si="13"/>
        <v>21.41935483870968</v>
      </c>
      <c r="E157" s="79">
        <f t="shared" si="16"/>
        <v>8.0852045598821295E-2</v>
      </c>
      <c r="F157" s="80">
        <f t="shared" si="17"/>
        <v>2.9591629713358377E-2</v>
      </c>
      <c r="I157" s="77"/>
    </row>
    <row r="158" spans="2:21" ht="15" x14ac:dyDescent="0.25">
      <c r="B158" s="234"/>
      <c r="C158" s="55" t="s">
        <v>582</v>
      </c>
      <c r="D158" s="56">
        <f t="shared" si="13"/>
        <v>27.085502916488831</v>
      </c>
      <c r="E158" s="81">
        <f t="shared" si="16"/>
        <v>0.36677418408758056</v>
      </c>
      <c r="F158" s="82">
        <f t="shared" si="17"/>
        <v>0.26453402170354473</v>
      </c>
      <c r="I158" s="77"/>
    </row>
    <row r="159" spans="2:21" ht="15" x14ac:dyDescent="0.25">
      <c r="B159" s="235"/>
      <c r="C159" s="50" t="s">
        <v>583</v>
      </c>
      <c r="D159" s="51">
        <f t="shared" si="13"/>
        <v>35.796011856642409</v>
      </c>
      <c r="E159" s="79">
        <f t="shared" si="16"/>
        <v>0.80631923467692734</v>
      </c>
      <c r="F159" s="80">
        <f t="shared" si="17"/>
        <v>0.32159302956309088</v>
      </c>
      <c r="I159" s="77"/>
    </row>
    <row r="160" spans="2:21" ht="18" customHeight="1" x14ac:dyDescent="0.25">
      <c r="B160" s="237" t="s">
        <v>248</v>
      </c>
      <c r="C160" s="238"/>
      <c r="D160" s="62">
        <f t="shared" si="13"/>
        <v>19.817101633778911</v>
      </c>
      <c r="E160" s="62"/>
      <c r="F160" s="62"/>
      <c r="G160" s="43"/>
      <c r="H160" s="43"/>
    </row>
    <row r="161" spans="2:8" ht="14.25" customHeight="1" x14ac:dyDescent="0.2">
      <c r="B161" s="66" t="s">
        <v>606</v>
      </c>
      <c r="C161" s="67"/>
      <c r="D161" s="67"/>
      <c r="E161" s="67"/>
      <c r="F161" s="67"/>
    </row>
    <row r="162" spans="2:8" x14ac:dyDescent="0.2">
      <c r="B162" s="66" t="s">
        <v>607</v>
      </c>
      <c r="C162" s="67"/>
      <c r="D162" s="67"/>
      <c r="E162" s="67"/>
      <c r="F162" s="67"/>
    </row>
    <row r="163" spans="2:8" ht="26.25" customHeight="1" x14ac:dyDescent="0.2">
      <c r="B163" s="231" t="s">
        <v>608</v>
      </c>
      <c r="C163" s="223"/>
      <c r="D163" s="223"/>
      <c r="E163" s="223"/>
      <c r="F163" s="223"/>
      <c r="G163" s="223"/>
      <c r="H163" s="223"/>
    </row>
    <row r="164" spans="2:8" ht="33" customHeight="1" x14ac:dyDescent="0.2">
      <c r="B164" s="232" t="s">
        <v>609</v>
      </c>
      <c r="C164" s="232"/>
      <c r="D164" s="232"/>
      <c r="E164" s="232"/>
      <c r="F164" s="232"/>
      <c r="G164" s="232"/>
    </row>
    <row r="165" spans="2:8" ht="40.5" customHeight="1" x14ac:dyDescent="0.2">
      <c r="B165" s="68"/>
      <c r="C165" s="68"/>
      <c r="D165" s="68"/>
      <c r="E165" s="68"/>
      <c r="F165" s="68"/>
    </row>
    <row r="166" spans="2:8" ht="14.25" customHeight="1" x14ac:dyDescent="0.2">
      <c r="B166" s="73" t="s">
        <v>610</v>
      </c>
    </row>
    <row r="167" spans="2:8" ht="14.25" customHeight="1" x14ac:dyDescent="0.2">
      <c r="B167" s="73"/>
    </row>
    <row r="168" spans="2:8" x14ac:dyDescent="0.2">
      <c r="B168" s="41" t="s">
        <v>109</v>
      </c>
    </row>
    <row r="169" spans="2:8" ht="43.9" customHeight="1" x14ac:dyDescent="0.2">
      <c r="B169" s="250" t="s">
        <v>616</v>
      </c>
      <c r="C169" s="250"/>
      <c r="D169" s="250"/>
      <c r="E169" s="250"/>
      <c r="F169" s="250"/>
      <c r="G169" s="250"/>
      <c r="H169" s="250"/>
    </row>
    <row r="170" spans="2:8" ht="15" x14ac:dyDescent="0.25">
      <c r="B170" s="41" t="s">
        <v>196</v>
      </c>
      <c r="C170" s="77"/>
      <c r="D170" s="77"/>
      <c r="E170" s="77"/>
      <c r="F170" s="77"/>
    </row>
    <row r="171" spans="2:8" ht="60.75" thickBot="1" x14ac:dyDescent="0.3">
      <c r="B171" s="46"/>
      <c r="C171" s="78" t="s">
        <v>197</v>
      </c>
      <c r="D171" s="78" t="s">
        <v>612</v>
      </c>
      <c r="E171" s="47" t="s">
        <v>199</v>
      </c>
      <c r="F171" s="46" t="s">
        <v>200</v>
      </c>
    </row>
    <row r="172" spans="2:8" ht="14.25" customHeight="1" thickTop="1" x14ac:dyDescent="0.2">
      <c r="B172" s="233" t="s">
        <v>594</v>
      </c>
      <c r="C172" s="50" t="s">
        <v>595</v>
      </c>
      <c r="D172" s="51">
        <f t="shared" ref="D172:D201" si="18">G8</f>
        <v>19.333757691491623</v>
      </c>
      <c r="E172" s="79"/>
      <c r="F172" s="80"/>
    </row>
    <row r="173" spans="2:8" ht="14.25" customHeight="1" x14ac:dyDescent="0.2">
      <c r="B173" s="234"/>
      <c r="C173" s="55" t="s">
        <v>578</v>
      </c>
      <c r="D173" s="56">
        <f t="shared" si="18"/>
        <v>19.425765453495089</v>
      </c>
      <c r="E173" s="81">
        <f t="shared" ref="E173:E180" si="19">(D173-$D$181)/$D$181</f>
        <v>4.7589177164435057E-3</v>
      </c>
      <c r="F173" s="82">
        <f t="shared" ref="F173:F180" si="20">(D173-D172)/D172</f>
        <v>4.7589177164435057E-3</v>
      </c>
    </row>
    <row r="174" spans="2:8" ht="14.25" customHeight="1" x14ac:dyDescent="0.2">
      <c r="B174" s="234"/>
      <c r="C174" s="50" t="s">
        <v>598</v>
      </c>
      <c r="D174" s="51">
        <f t="shared" si="18"/>
        <v>18.901780895844578</v>
      </c>
      <c r="E174" s="79">
        <f t="shared" si="19"/>
        <v>-2.2343136939031234E-2</v>
      </c>
      <c r="F174" s="80">
        <f t="shared" si="20"/>
        <v>-2.6973689088593194E-2</v>
      </c>
    </row>
    <row r="175" spans="2:8" x14ac:dyDescent="0.2">
      <c r="B175" s="234"/>
      <c r="C175" s="55" t="s">
        <v>580</v>
      </c>
      <c r="D175" s="56">
        <f t="shared" si="18"/>
        <v>22.895361380798274</v>
      </c>
      <c r="E175" s="81">
        <f t="shared" si="19"/>
        <v>0.18421683700287797</v>
      </c>
      <c r="F175" s="82">
        <f t="shared" si="20"/>
        <v>0.21128064635600854</v>
      </c>
    </row>
    <row r="176" spans="2:8" x14ac:dyDescent="0.2">
      <c r="B176" s="234"/>
      <c r="C176" s="50" t="s">
        <v>601</v>
      </c>
      <c r="D176" s="51">
        <f t="shared" si="18"/>
        <v>19.928791377983064</v>
      </c>
      <c r="E176" s="79">
        <f t="shared" si="19"/>
        <v>3.0776928933649677E-2</v>
      </c>
      <c r="F176" s="80">
        <f t="shared" si="20"/>
        <v>-0.12957078743920561</v>
      </c>
    </row>
    <row r="177" spans="2:11" x14ac:dyDescent="0.2">
      <c r="B177" s="234"/>
      <c r="C177" s="55" t="s">
        <v>602</v>
      </c>
      <c r="D177" s="56">
        <f t="shared" si="18"/>
        <v>18.44859813084112</v>
      </c>
      <c r="E177" s="81">
        <f t="shared" si="19"/>
        <v>-4.578311028693835E-2</v>
      </c>
      <c r="F177" s="82">
        <f t="shared" si="20"/>
        <v>-7.4274110209073319E-2</v>
      </c>
    </row>
    <row r="178" spans="2:11" x14ac:dyDescent="0.2">
      <c r="B178" s="234"/>
      <c r="C178" s="50" t="s">
        <v>581</v>
      </c>
      <c r="D178" s="51">
        <f t="shared" si="18"/>
        <v>11.092165898617511</v>
      </c>
      <c r="E178" s="79">
        <f t="shared" si="19"/>
        <v>-0.42627987401026868</v>
      </c>
      <c r="F178" s="80">
        <f t="shared" si="20"/>
        <v>-0.39875291228365056</v>
      </c>
    </row>
    <row r="179" spans="2:11" x14ac:dyDescent="0.2">
      <c r="B179" s="234"/>
      <c r="C179" s="55" t="s">
        <v>582</v>
      </c>
      <c r="D179" s="56">
        <f t="shared" si="18"/>
        <v>11.502062882344573</v>
      </c>
      <c r="E179" s="81">
        <f t="shared" si="19"/>
        <v>-0.40507877124133057</v>
      </c>
      <c r="F179" s="82">
        <f t="shared" si="20"/>
        <v>3.6953737211787505E-2</v>
      </c>
    </row>
    <row r="180" spans="2:11" x14ac:dyDescent="0.2">
      <c r="B180" s="235"/>
      <c r="C180" s="50" t="s">
        <v>583</v>
      </c>
      <c r="D180" s="51">
        <f t="shared" si="18"/>
        <v>10.22743195904069</v>
      </c>
      <c r="E180" s="79">
        <f t="shared" si="19"/>
        <v>-0.47100650984461412</v>
      </c>
      <c r="F180" s="80">
        <f t="shared" si="20"/>
        <v>-0.11081759301285121</v>
      </c>
    </row>
    <row r="181" spans="2:11" ht="18" customHeight="1" x14ac:dyDescent="0.25">
      <c r="B181" s="237" t="s">
        <v>248</v>
      </c>
      <c r="C181" s="238"/>
      <c r="D181" s="62">
        <f t="shared" si="18"/>
        <v>19.333757691491623</v>
      </c>
      <c r="E181" s="62"/>
      <c r="F181" s="62"/>
    </row>
    <row r="182" spans="2:11" ht="14.25" customHeight="1" x14ac:dyDescent="0.2">
      <c r="B182" s="236" t="s">
        <v>604</v>
      </c>
      <c r="C182" s="50" t="s">
        <v>595</v>
      </c>
      <c r="D182" s="51">
        <f t="shared" si="18"/>
        <v>10.633566730320391</v>
      </c>
      <c r="E182" s="79"/>
      <c r="F182" s="80"/>
    </row>
    <row r="183" spans="2:11" ht="14.25" customHeight="1" x14ac:dyDescent="0.2">
      <c r="B183" s="234"/>
      <c r="C183" s="55" t="s">
        <v>578</v>
      </c>
      <c r="D183" s="56">
        <f t="shared" si="18"/>
        <v>8.1317157712305033</v>
      </c>
      <c r="E183" s="81">
        <f t="shared" ref="E183:E190" si="21">(D183-$D$191)/$D$191</f>
        <v>-0.23527862499382712</v>
      </c>
      <c r="F183" s="82" t="s">
        <v>301</v>
      </c>
      <c r="I183" s="67"/>
      <c r="J183" s="67"/>
    </row>
    <row r="184" spans="2:11" ht="14.25" customHeight="1" x14ac:dyDescent="0.2">
      <c r="B184" s="234"/>
      <c r="C184" s="50" t="s">
        <v>598</v>
      </c>
      <c r="D184" s="51">
        <f t="shared" si="18"/>
        <v>7.560712358337832</v>
      </c>
      <c r="E184" s="79">
        <f t="shared" si="21"/>
        <v>-0.28897682686474979</v>
      </c>
      <c r="F184" s="80" t="s">
        <v>301</v>
      </c>
      <c r="I184" s="67"/>
      <c r="J184" s="67"/>
    </row>
    <row r="185" spans="2:11" x14ac:dyDescent="0.2">
      <c r="B185" s="234"/>
      <c r="C185" s="55" t="s">
        <v>580</v>
      </c>
      <c r="D185" s="56">
        <f t="shared" si="18"/>
        <v>5.7238403451995685</v>
      </c>
      <c r="E185" s="81">
        <f t="shared" si="21"/>
        <v>-0.46171961954414625</v>
      </c>
      <c r="F185" s="82" t="s">
        <v>301</v>
      </c>
      <c r="I185" s="67"/>
      <c r="J185" s="67"/>
    </row>
    <row r="186" spans="2:11" x14ac:dyDescent="0.2">
      <c r="B186" s="234"/>
      <c r="C186" s="50" t="s">
        <v>601</v>
      </c>
      <c r="D186" s="51">
        <f t="shared" si="18"/>
        <v>2.7900307929176291</v>
      </c>
      <c r="E186" s="79">
        <f t="shared" si="21"/>
        <v>-0.73762041808961643</v>
      </c>
      <c r="F186" s="80" t="s">
        <v>301</v>
      </c>
      <c r="I186" s="67"/>
      <c r="J186" s="67"/>
    </row>
    <row r="187" spans="2:11" x14ac:dyDescent="0.2">
      <c r="B187" s="234"/>
      <c r="C187" s="55" t="s">
        <v>602</v>
      </c>
      <c r="D187" s="56">
        <f t="shared" si="18"/>
        <v>4.3177570093457938</v>
      </c>
      <c r="E187" s="81">
        <f t="shared" si="21"/>
        <v>-0.59395025969656945</v>
      </c>
      <c r="F187" s="82" t="s">
        <v>301</v>
      </c>
      <c r="I187" s="67"/>
      <c r="J187" s="67"/>
    </row>
    <row r="188" spans="2:11" x14ac:dyDescent="0.2">
      <c r="B188" s="234"/>
      <c r="C188" s="50" t="s">
        <v>581</v>
      </c>
      <c r="D188" s="51">
        <f t="shared" si="18"/>
        <v>3.0599078341013826</v>
      </c>
      <c r="E188" s="79">
        <f t="shared" si="21"/>
        <v>-0.71224068915875538</v>
      </c>
      <c r="F188" s="80" t="s">
        <v>301</v>
      </c>
      <c r="I188" s="67"/>
      <c r="J188" s="67"/>
    </row>
    <row r="189" spans="2:11" x14ac:dyDescent="0.2">
      <c r="B189" s="234"/>
      <c r="C189" s="55" t="s">
        <v>582</v>
      </c>
      <c r="D189" s="56">
        <f t="shared" si="18"/>
        <v>6.6786171574903967</v>
      </c>
      <c r="E189" s="81">
        <f t="shared" si="21"/>
        <v>-0.37193066758615534</v>
      </c>
      <c r="F189" s="82" t="s">
        <v>301</v>
      </c>
      <c r="I189" s="67"/>
      <c r="J189" s="67"/>
    </row>
    <row r="190" spans="2:11" x14ac:dyDescent="0.2">
      <c r="B190" s="235"/>
      <c r="C190" s="50" t="s">
        <v>583</v>
      </c>
      <c r="D190" s="51">
        <f t="shared" si="18"/>
        <v>8.7663702506063057</v>
      </c>
      <c r="E190" s="79">
        <f t="shared" si="21"/>
        <v>-0.17559456079680108</v>
      </c>
      <c r="F190" s="80" t="s">
        <v>301</v>
      </c>
      <c r="I190" s="67"/>
      <c r="J190" s="67"/>
    </row>
    <row r="191" spans="2:11" ht="18" customHeight="1" x14ac:dyDescent="0.25">
      <c r="B191" s="237" t="s">
        <v>248</v>
      </c>
      <c r="C191" s="238"/>
      <c r="D191" s="62">
        <f t="shared" si="18"/>
        <v>10.633566730320391</v>
      </c>
      <c r="E191" s="62"/>
      <c r="F191" s="62"/>
      <c r="G191" s="67"/>
      <c r="H191" s="67"/>
      <c r="I191" s="68"/>
      <c r="J191" s="68"/>
      <c r="K191" s="69"/>
    </row>
    <row r="192" spans="2:11" ht="14.25" customHeight="1" x14ac:dyDescent="0.2">
      <c r="B192" s="236" t="s">
        <v>605</v>
      </c>
      <c r="C192" s="50" t="s">
        <v>595</v>
      </c>
      <c r="D192" s="51">
        <f t="shared" si="18"/>
        <v>29.967324421812016</v>
      </c>
      <c r="E192" s="79"/>
      <c r="F192" s="80"/>
      <c r="G192" s="43"/>
      <c r="H192" s="43"/>
    </row>
    <row r="193" spans="2:8" ht="14.25" customHeight="1" x14ac:dyDescent="0.25">
      <c r="B193" s="234"/>
      <c r="C193" s="55" t="s">
        <v>578</v>
      </c>
      <c r="D193" s="56">
        <f t="shared" si="18"/>
        <v>27.557481224725592</v>
      </c>
      <c r="E193" s="81">
        <f t="shared" ref="E193:E200" si="22">(D193-$D$201)/$D$201</f>
        <v>-8.0415694213007399E-2</v>
      </c>
      <c r="F193" s="82">
        <f t="shared" ref="F193:F200" si="23">(D193-D192)/D192</f>
        <v>-8.0415694213007399E-2</v>
      </c>
      <c r="G193" s="77"/>
      <c r="H193" s="77"/>
    </row>
    <row r="194" spans="2:8" ht="14.25" customHeight="1" x14ac:dyDescent="0.2">
      <c r="B194" s="234"/>
      <c r="C194" s="50" t="s">
        <v>598</v>
      </c>
      <c r="D194" s="51">
        <f t="shared" si="18"/>
        <v>26.462493254182409</v>
      </c>
      <c r="E194" s="79">
        <f t="shared" si="22"/>
        <v>-0.11695509142880239</v>
      </c>
      <c r="F194" s="80">
        <f t="shared" si="23"/>
        <v>-3.9734689887431354E-2</v>
      </c>
    </row>
    <row r="195" spans="2:8" x14ac:dyDescent="0.2">
      <c r="B195" s="234"/>
      <c r="C195" s="55" t="s">
        <v>580</v>
      </c>
      <c r="D195" s="56">
        <f t="shared" si="18"/>
        <v>28.619201725997844</v>
      </c>
      <c r="E195" s="81">
        <f t="shared" si="22"/>
        <v>-4.4986421771872565E-2</v>
      </c>
      <c r="F195" s="82">
        <f t="shared" si="23"/>
        <v>8.150057710357908E-2</v>
      </c>
    </row>
    <row r="196" spans="2:8" x14ac:dyDescent="0.2">
      <c r="B196" s="234"/>
      <c r="C196" s="50" t="s">
        <v>601</v>
      </c>
      <c r="D196" s="51">
        <f t="shared" si="18"/>
        <v>22.718822170900694</v>
      </c>
      <c r="E196" s="79">
        <f t="shared" si="22"/>
        <v>-0.24188019420363827</v>
      </c>
      <c r="F196" s="80">
        <f t="shared" si="23"/>
        <v>-0.20616855814455551</v>
      </c>
    </row>
    <row r="197" spans="2:8" x14ac:dyDescent="0.2">
      <c r="B197" s="234"/>
      <c r="C197" s="55" t="s">
        <v>602</v>
      </c>
      <c r="D197" s="56">
        <f t="shared" si="18"/>
        <v>22.766355140186914</v>
      </c>
      <c r="E197" s="81">
        <f t="shared" si="22"/>
        <v>-0.24029403427100102</v>
      </c>
      <c r="F197" s="82">
        <f t="shared" si="23"/>
        <v>2.0922285904021046E-3</v>
      </c>
    </row>
    <row r="198" spans="2:8" x14ac:dyDescent="0.2">
      <c r="B198" s="234"/>
      <c r="C198" s="50" t="s">
        <v>581</v>
      </c>
      <c r="D198" s="51">
        <f t="shared" si="18"/>
        <v>14.152073732718895</v>
      </c>
      <c r="E198" s="79">
        <f t="shared" si="22"/>
        <v>-0.52774984067586073</v>
      </c>
      <c r="F198" s="80">
        <f t="shared" si="23"/>
        <v>-0.37837771371062318</v>
      </c>
    </row>
    <row r="199" spans="2:8" x14ac:dyDescent="0.2">
      <c r="B199" s="234"/>
      <c r="C199" s="55" t="s">
        <v>582</v>
      </c>
      <c r="D199" s="56">
        <f t="shared" si="18"/>
        <v>18.180680039834968</v>
      </c>
      <c r="E199" s="81">
        <f t="shared" si="22"/>
        <v>-0.39331654091207491</v>
      </c>
      <c r="F199" s="82">
        <f t="shared" si="23"/>
        <v>0.28466544078286804</v>
      </c>
    </row>
    <row r="200" spans="2:8" x14ac:dyDescent="0.2">
      <c r="B200" s="235"/>
      <c r="C200" s="50" t="s">
        <v>583</v>
      </c>
      <c r="D200" s="51">
        <f t="shared" si="18"/>
        <v>18.993802209646994</v>
      </c>
      <c r="E200" s="79">
        <f t="shared" si="22"/>
        <v>-0.36618291502119671</v>
      </c>
      <c r="F200" s="80">
        <f t="shared" si="23"/>
        <v>4.4724518996562608E-2</v>
      </c>
    </row>
    <row r="201" spans="2:8" ht="18" customHeight="1" x14ac:dyDescent="0.25">
      <c r="B201" s="237" t="s">
        <v>248</v>
      </c>
      <c r="C201" s="238"/>
      <c r="D201" s="62">
        <f t="shared" si="18"/>
        <v>29.967324421812016</v>
      </c>
      <c r="E201" s="62"/>
      <c r="F201" s="62"/>
    </row>
    <row r="202" spans="2:8" ht="14.25" customHeight="1" x14ac:dyDescent="0.2">
      <c r="B202" s="66" t="s">
        <v>606</v>
      </c>
      <c r="C202" s="67"/>
      <c r="D202" s="67"/>
      <c r="E202" s="67"/>
      <c r="F202" s="67"/>
    </row>
    <row r="203" spans="2:8" x14ac:dyDescent="0.2">
      <c r="B203" s="66" t="s">
        <v>607</v>
      </c>
      <c r="C203" s="67"/>
      <c r="D203" s="67"/>
      <c r="E203" s="67"/>
      <c r="F203" s="67"/>
    </row>
    <row r="204" spans="2:8" ht="26.25" customHeight="1" x14ac:dyDescent="0.2">
      <c r="B204" s="231" t="s">
        <v>608</v>
      </c>
      <c r="C204" s="223"/>
      <c r="D204" s="223"/>
      <c r="E204" s="223"/>
      <c r="F204" s="223"/>
      <c r="G204" s="223"/>
      <c r="H204" s="223"/>
    </row>
    <row r="205" spans="2:8" ht="40.5" customHeight="1" x14ac:dyDescent="0.2">
      <c r="B205" s="232" t="s">
        <v>609</v>
      </c>
      <c r="C205" s="232"/>
      <c r="D205" s="232"/>
      <c r="E205" s="232"/>
      <c r="F205" s="232"/>
      <c r="G205" s="232"/>
    </row>
    <row r="206" spans="2:8" ht="14.25" customHeight="1" x14ac:dyDescent="0.2">
      <c r="B206" s="68"/>
      <c r="C206" s="68"/>
      <c r="D206" s="68"/>
      <c r="E206" s="68"/>
      <c r="F206" s="68"/>
    </row>
    <row r="207" spans="2:8" ht="15" x14ac:dyDescent="0.2">
      <c r="B207" s="73" t="s">
        <v>610</v>
      </c>
    </row>
    <row r="208" spans="2:8" ht="45" customHeight="1" x14ac:dyDescent="0.2"/>
    <row r="209" spans="2:11" x14ac:dyDescent="0.2">
      <c r="B209" s="41" t="s">
        <v>111</v>
      </c>
    </row>
    <row r="210" spans="2:11" ht="43.9" customHeight="1" x14ac:dyDescent="0.2">
      <c r="B210" s="250" t="s">
        <v>617</v>
      </c>
      <c r="C210" s="250"/>
      <c r="D210" s="250"/>
      <c r="E210" s="250"/>
      <c r="F210" s="250"/>
      <c r="G210" s="250"/>
      <c r="H210" s="250"/>
    </row>
    <row r="211" spans="2:11" ht="15" x14ac:dyDescent="0.25">
      <c r="B211" s="41" t="s">
        <v>196</v>
      </c>
      <c r="C211" s="77"/>
      <c r="D211" s="77"/>
      <c r="E211" s="77"/>
      <c r="F211" s="77"/>
    </row>
    <row r="212" spans="2:11" ht="60.75" thickBot="1" x14ac:dyDescent="0.3">
      <c r="B212" s="46"/>
      <c r="C212" s="78" t="s">
        <v>197</v>
      </c>
      <c r="D212" s="78" t="s">
        <v>612</v>
      </c>
      <c r="E212" s="47" t="s">
        <v>199</v>
      </c>
      <c r="F212" s="46" t="s">
        <v>200</v>
      </c>
    </row>
    <row r="213" spans="2:11" ht="14.25" customHeight="1" thickTop="1" x14ac:dyDescent="0.2">
      <c r="B213" s="233" t="s">
        <v>594</v>
      </c>
      <c r="C213" s="50" t="s">
        <v>595</v>
      </c>
      <c r="D213" s="51">
        <f t="shared" ref="D213:D242" si="24">H8</f>
        <v>81.20178230426481</v>
      </c>
      <c r="E213" s="79"/>
      <c r="F213" s="80"/>
    </row>
    <row r="214" spans="2:11" ht="14.25" customHeight="1" x14ac:dyDescent="0.2">
      <c r="B214" s="234"/>
      <c r="C214" s="55" t="s">
        <v>578</v>
      </c>
      <c r="D214" s="56">
        <f t="shared" si="24"/>
        <v>79.961871750433275</v>
      </c>
      <c r="E214" s="81">
        <f t="shared" ref="E214:E221" si="25">(D214-$D$222)/$D$222</f>
        <v>-1.5269499248003745E-2</v>
      </c>
      <c r="F214" s="82">
        <f t="shared" ref="F214:F221" si="26">(D214-D213)/D213</f>
        <v>-1.5269499248003745E-2</v>
      </c>
    </row>
    <row r="215" spans="2:11" ht="16.5" x14ac:dyDescent="0.2">
      <c r="B215" s="234"/>
      <c r="C215" s="50" t="s">
        <v>598</v>
      </c>
      <c r="D215" s="51">
        <f t="shared" si="24"/>
        <v>75.607123583378311</v>
      </c>
      <c r="E215" s="79">
        <f t="shared" si="25"/>
        <v>-6.8898225656220127E-2</v>
      </c>
      <c r="F215" s="80">
        <f t="shared" si="26"/>
        <v>-5.4460308040892851E-2</v>
      </c>
    </row>
    <row r="216" spans="2:11" ht="14.25" customHeight="1" x14ac:dyDescent="0.2">
      <c r="B216" s="234"/>
      <c r="C216" s="55" t="s">
        <v>580</v>
      </c>
      <c r="D216" s="56">
        <f t="shared" si="24"/>
        <v>78.498381877022652</v>
      </c>
      <c r="E216" s="81">
        <f t="shared" si="25"/>
        <v>-3.3292377956834242E-2</v>
      </c>
      <c r="F216" s="82">
        <f t="shared" si="26"/>
        <v>3.8240554019435859E-2</v>
      </c>
    </row>
    <row r="217" spans="2:11" ht="14.25" customHeight="1" x14ac:dyDescent="0.2">
      <c r="B217" s="234"/>
      <c r="C217" s="50" t="s">
        <v>601</v>
      </c>
      <c r="D217" s="51">
        <f t="shared" si="24"/>
        <v>71.345073133179369</v>
      </c>
      <c r="E217" s="79">
        <f t="shared" si="25"/>
        <v>-0.12138537962322234</v>
      </c>
      <c r="F217" s="80">
        <f t="shared" si="26"/>
        <v>-9.1126830551103835E-2</v>
      </c>
    </row>
    <row r="218" spans="2:11" ht="14.25" customHeight="1" x14ac:dyDescent="0.2">
      <c r="B218" s="234"/>
      <c r="C218" s="55" t="s">
        <v>602</v>
      </c>
      <c r="D218" s="56">
        <f t="shared" si="24"/>
        <v>65.943925233644848</v>
      </c>
      <c r="E218" s="81">
        <f t="shared" si="25"/>
        <v>-0.18790051939313901</v>
      </c>
      <c r="F218" s="82">
        <f t="shared" si="26"/>
        <v>-7.5704567426151975E-2</v>
      </c>
    </row>
    <row r="219" spans="2:11" ht="14.25" customHeight="1" x14ac:dyDescent="0.2">
      <c r="B219" s="234"/>
      <c r="C219" s="50" t="s">
        <v>581</v>
      </c>
      <c r="D219" s="51">
        <f t="shared" si="24"/>
        <v>73.055299539170505</v>
      </c>
      <c r="E219" s="79">
        <f t="shared" si="25"/>
        <v>-0.10032394036093026</v>
      </c>
      <c r="F219" s="80">
        <f t="shared" si="26"/>
        <v>0.10783971806848718</v>
      </c>
    </row>
    <row r="220" spans="2:11" ht="14.25" customHeight="1" x14ac:dyDescent="0.2">
      <c r="B220" s="234"/>
      <c r="C220" s="55" t="s">
        <v>582</v>
      </c>
      <c r="D220" s="56">
        <f t="shared" si="24"/>
        <v>87.56409162042965</v>
      </c>
      <c r="E220" s="81">
        <f t="shared" si="25"/>
        <v>7.8351843218479253E-2</v>
      </c>
      <c r="F220" s="82">
        <f t="shared" si="26"/>
        <v>0.19860013130847376</v>
      </c>
    </row>
    <row r="221" spans="2:11" ht="14.25" customHeight="1" x14ac:dyDescent="0.2">
      <c r="B221" s="235"/>
      <c r="C221" s="50" t="s">
        <v>583</v>
      </c>
      <c r="D221" s="51">
        <f t="shared" si="24"/>
        <v>99.717461600646729</v>
      </c>
      <c r="E221" s="79">
        <f t="shared" si="25"/>
        <v>0.22802060214643163</v>
      </c>
      <c r="F221" s="80">
        <f t="shared" si="26"/>
        <v>0.13879399369434633</v>
      </c>
    </row>
    <row r="222" spans="2:11" ht="18" customHeight="1" x14ac:dyDescent="0.25">
      <c r="B222" s="237" t="s">
        <v>248</v>
      </c>
      <c r="C222" s="238"/>
      <c r="D222" s="62">
        <f t="shared" si="24"/>
        <v>81.20178230426481</v>
      </c>
      <c r="E222" s="62"/>
      <c r="F222" s="62"/>
    </row>
    <row r="223" spans="2:11" ht="14.25" customHeight="1" x14ac:dyDescent="0.2">
      <c r="B223" s="236" t="s">
        <v>604</v>
      </c>
      <c r="C223" s="50" t="s">
        <v>595</v>
      </c>
      <c r="D223" s="51">
        <f t="shared" si="24"/>
        <v>31.900700190961174</v>
      </c>
      <c r="E223" s="79"/>
      <c r="F223" s="80"/>
      <c r="G223" s="67"/>
      <c r="H223" s="67"/>
      <c r="I223" s="68"/>
      <c r="J223" s="68"/>
      <c r="K223" s="69"/>
    </row>
    <row r="224" spans="2:11" ht="14.25" customHeight="1" x14ac:dyDescent="0.2">
      <c r="B224" s="234"/>
      <c r="C224" s="55" t="s">
        <v>578</v>
      </c>
      <c r="D224" s="56">
        <f t="shared" si="24"/>
        <v>25.298671288272676</v>
      </c>
      <c r="E224" s="81">
        <f t="shared" ref="E224:E231" si="27">(D224-$D$232)/$D$232</f>
        <v>-0.2069556111047097</v>
      </c>
      <c r="F224" s="82">
        <f t="shared" ref="F224:F231" si="28">(D224-D223)/D223</f>
        <v>-0.2069556111047097</v>
      </c>
      <c r="G224" s="67"/>
      <c r="H224" s="67"/>
      <c r="I224" s="68"/>
      <c r="J224" s="68"/>
      <c r="K224" s="69"/>
    </row>
    <row r="225" spans="2:8" ht="16.5" x14ac:dyDescent="0.2">
      <c r="B225" s="234"/>
      <c r="C225" s="50" t="s">
        <v>598</v>
      </c>
      <c r="D225" s="51">
        <f t="shared" si="24"/>
        <v>23.102176650476704</v>
      </c>
      <c r="E225" s="79">
        <f t="shared" si="27"/>
        <v>-0.27580973106594903</v>
      </c>
      <c r="F225" s="80">
        <f t="shared" si="28"/>
        <v>-8.6822529640683849E-2</v>
      </c>
      <c r="G225" s="70"/>
      <c r="H225" s="70"/>
    </row>
    <row r="226" spans="2:8" ht="14.25" customHeight="1" x14ac:dyDescent="0.2">
      <c r="B226" s="234"/>
      <c r="C226" s="55" t="s">
        <v>580</v>
      </c>
      <c r="D226" s="56">
        <f t="shared" si="24"/>
        <v>29.436893203883493</v>
      </c>
      <c r="E226" s="81">
        <f t="shared" si="27"/>
        <v>-7.7233633504250887E-2</v>
      </c>
      <c r="F226" s="82">
        <f t="shared" si="28"/>
        <v>0.27420431629658043</v>
      </c>
      <c r="G226" s="70"/>
      <c r="H226" s="70"/>
    </row>
    <row r="227" spans="2:8" ht="14.25" customHeight="1" x14ac:dyDescent="0.2">
      <c r="B227" s="234"/>
      <c r="C227" s="50" t="s">
        <v>601</v>
      </c>
      <c r="D227" s="51">
        <f t="shared" si="24"/>
        <v>27.103156274056971</v>
      </c>
      <c r="E227" s="79">
        <f t="shared" si="27"/>
        <v>-0.15038992524256731</v>
      </c>
      <c r="F227" s="80">
        <f t="shared" si="28"/>
        <v>-7.9279321824581708E-2</v>
      </c>
      <c r="G227" s="70"/>
      <c r="H227" s="70"/>
    </row>
    <row r="228" spans="2:8" ht="14.25" customHeight="1" x14ac:dyDescent="0.2">
      <c r="B228" s="234"/>
      <c r="C228" s="55" t="s">
        <v>602</v>
      </c>
      <c r="D228" s="56">
        <f t="shared" si="24"/>
        <v>32.579439252336449</v>
      </c>
      <c r="E228" s="81">
        <f t="shared" si="27"/>
        <v>2.127661955105269E-2</v>
      </c>
      <c r="F228" s="82">
        <f t="shared" si="28"/>
        <v>0.20205332998508935</v>
      </c>
      <c r="G228" s="70"/>
      <c r="H228" s="70"/>
    </row>
    <row r="229" spans="2:8" ht="14.25" customHeight="1" x14ac:dyDescent="0.2">
      <c r="B229" s="234"/>
      <c r="C229" s="50" t="s">
        <v>581</v>
      </c>
      <c r="D229" s="51">
        <f t="shared" si="24"/>
        <v>28.30414746543779</v>
      </c>
      <c r="E229" s="79">
        <f t="shared" si="27"/>
        <v>-0.11274212490616244</v>
      </c>
      <c r="F229" s="80">
        <f t="shared" si="28"/>
        <v>-0.1312266842220759</v>
      </c>
      <c r="G229" s="70"/>
      <c r="H229" s="70"/>
    </row>
    <row r="230" spans="2:8" ht="14.25" customHeight="1" x14ac:dyDescent="0.2">
      <c r="B230" s="234"/>
      <c r="C230" s="55" t="s">
        <v>582</v>
      </c>
      <c r="D230" s="56">
        <f t="shared" si="24"/>
        <v>37.103428652724432</v>
      </c>
      <c r="E230" s="81">
        <f t="shared" si="27"/>
        <v>0.16309135632193464</v>
      </c>
      <c r="F230" s="82">
        <f t="shared" si="28"/>
        <v>0.31088310283966153</v>
      </c>
      <c r="G230" s="70"/>
      <c r="H230" s="70"/>
    </row>
    <row r="231" spans="2:8" ht="14.25" customHeight="1" x14ac:dyDescent="0.2">
      <c r="B231" s="235"/>
      <c r="C231" s="50" t="s">
        <v>583</v>
      </c>
      <c r="D231" s="51">
        <f t="shared" si="24"/>
        <v>44.562382107248716</v>
      </c>
      <c r="E231" s="79">
        <f t="shared" si="27"/>
        <v>0.39690921642764238</v>
      </c>
      <c r="F231" s="80">
        <f t="shared" si="28"/>
        <v>0.20103137972335577</v>
      </c>
      <c r="G231" s="70"/>
      <c r="H231" s="70"/>
    </row>
    <row r="232" spans="2:8" ht="18" customHeight="1" x14ac:dyDescent="0.25">
      <c r="B232" s="237" t="s">
        <v>248</v>
      </c>
      <c r="C232" s="238"/>
      <c r="D232" s="62">
        <f t="shared" si="24"/>
        <v>31.900700190961174</v>
      </c>
      <c r="E232" s="62"/>
      <c r="F232" s="62"/>
      <c r="G232" s="68"/>
      <c r="H232" s="68"/>
    </row>
    <row r="233" spans="2:8" ht="14.25" customHeight="1" x14ac:dyDescent="0.2">
      <c r="B233" s="236" t="s">
        <v>605</v>
      </c>
      <c r="C233" s="50" t="s">
        <v>595</v>
      </c>
      <c r="D233" s="51">
        <f t="shared" si="24"/>
        <v>113.10248249522597</v>
      </c>
      <c r="E233" s="79"/>
      <c r="F233" s="80"/>
    </row>
    <row r="234" spans="2:8" ht="14.25" customHeight="1" x14ac:dyDescent="0.2">
      <c r="B234" s="234"/>
      <c r="C234" s="55" t="s">
        <v>578</v>
      </c>
      <c r="D234" s="56">
        <f t="shared" si="24"/>
        <v>105.26054303870596</v>
      </c>
      <c r="E234" s="81">
        <f t="shared" ref="E234:E241" si="29">(D234-$D$242)/$D$242</f>
        <v>-6.9334812848612898E-2</v>
      </c>
      <c r="F234" s="82">
        <f t="shared" ref="F234:F241" si="30">(D234-D233)/D233</f>
        <v>-6.9334812848612898E-2</v>
      </c>
    </row>
    <row r="235" spans="2:8" ht="16.5" x14ac:dyDescent="0.2">
      <c r="B235" s="234"/>
      <c r="C235" s="50" t="s">
        <v>598</v>
      </c>
      <c r="D235" s="51">
        <f t="shared" si="24"/>
        <v>98.709300233855018</v>
      </c>
      <c r="E235" s="79">
        <f t="shared" si="29"/>
        <v>-0.12725788102819482</v>
      </c>
      <c r="F235" s="80">
        <f t="shared" si="30"/>
        <v>-6.223835271723753E-2</v>
      </c>
    </row>
    <row r="236" spans="2:8" x14ac:dyDescent="0.2">
      <c r="B236" s="234"/>
      <c r="C236" s="55" t="s">
        <v>580</v>
      </c>
      <c r="D236" s="56">
        <f t="shared" si="24"/>
        <v>107.93527508090615</v>
      </c>
      <c r="E236" s="81">
        <f t="shared" si="29"/>
        <v>-4.5686065418925934E-2</v>
      </c>
      <c r="F236" s="82">
        <f t="shared" si="30"/>
        <v>9.3466115403448444E-2</v>
      </c>
    </row>
    <row r="237" spans="2:8" x14ac:dyDescent="0.2">
      <c r="B237" s="234"/>
      <c r="C237" s="50" t="s">
        <v>601</v>
      </c>
      <c r="D237" s="51">
        <f t="shared" si="24"/>
        <v>98.448229407236326</v>
      </c>
      <c r="E237" s="79">
        <f t="shared" si="29"/>
        <v>-0.12956614890047349</v>
      </c>
      <c r="F237" s="80">
        <f t="shared" si="30"/>
        <v>-8.7895691807507073E-2</v>
      </c>
    </row>
    <row r="238" spans="2:8" x14ac:dyDescent="0.2">
      <c r="B238" s="234"/>
      <c r="C238" s="55" t="s">
        <v>602</v>
      </c>
      <c r="D238" s="56">
        <f t="shared" si="24"/>
        <v>98.523364485981304</v>
      </c>
      <c r="E238" s="81">
        <f t="shared" si="29"/>
        <v>-0.12890183917811041</v>
      </c>
      <c r="F238" s="82">
        <f t="shared" si="30"/>
        <v>7.6319380447339286E-4</v>
      </c>
    </row>
    <row r="239" spans="2:8" x14ac:dyDescent="0.2">
      <c r="B239" s="234"/>
      <c r="C239" s="50" t="s">
        <v>581</v>
      </c>
      <c r="D239" s="51">
        <f t="shared" si="24"/>
        <v>101.35944700460828</v>
      </c>
      <c r="E239" s="79">
        <f t="shared" si="29"/>
        <v>-0.10382650523266239</v>
      </c>
      <c r="F239" s="80">
        <f t="shared" si="30"/>
        <v>2.8785887828978084E-2</v>
      </c>
    </row>
    <row r="240" spans="2:8" x14ac:dyDescent="0.2">
      <c r="B240" s="234"/>
      <c r="C240" s="55" t="s">
        <v>582</v>
      </c>
      <c r="D240" s="56">
        <f t="shared" si="24"/>
        <v>124.66752027315408</v>
      </c>
      <c r="E240" s="81">
        <f t="shared" si="29"/>
        <v>0.1022527315297104</v>
      </c>
      <c r="F240" s="82">
        <f t="shared" si="30"/>
        <v>0.22995462147189991</v>
      </c>
    </row>
    <row r="241" spans="2:8" x14ac:dyDescent="0.2">
      <c r="B241" s="235"/>
      <c r="C241" s="50" t="s">
        <v>583</v>
      </c>
      <c r="D241" s="51">
        <f t="shared" si="24"/>
        <v>144.27984370789545</v>
      </c>
      <c r="E241" s="79">
        <f t="shared" si="29"/>
        <v>0.2756558523283118</v>
      </c>
      <c r="F241" s="80">
        <f t="shared" si="30"/>
        <v>0.15731702525059921</v>
      </c>
    </row>
    <row r="242" spans="2:8" ht="18" customHeight="1" x14ac:dyDescent="0.25">
      <c r="B242" s="237" t="s">
        <v>248</v>
      </c>
      <c r="C242" s="238"/>
      <c r="D242" s="62">
        <f t="shared" si="24"/>
        <v>113.10248249522597</v>
      </c>
      <c r="E242" s="62"/>
      <c r="F242" s="62"/>
    </row>
    <row r="243" spans="2:8" ht="15" x14ac:dyDescent="0.25">
      <c r="B243" s="66" t="s">
        <v>606</v>
      </c>
      <c r="C243" s="67"/>
      <c r="D243" s="67"/>
      <c r="E243" s="67"/>
      <c r="F243" s="67"/>
      <c r="G243" s="83"/>
      <c r="H243" s="83"/>
    </row>
    <row r="244" spans="2:8" ht="14.25" customHeight="1" x14ac:dyDescent="0.25">
      <c r="B244" s="66" t="s">
        <v>607</v>
      </c>
      <c r="C244" s="67"/>
      <c r="D244" s="67"/>
      <c r="E244" s="67"/>
      <c r="F244" s="67"/>
      <c r="G244" s="83"/>
      <c r="H244" s="83"/>
    </row>
    <row r="245" spans="2:8" ht="24.75" customHeight="1" x14ac:dyDescent="0.2">
      <c r="B245" s="231" t="s">
        <v>608</v>
      </c>
      <c r="C245" s="223"/>
      <c r="D245" s="223"/>
      <c r="E245" s="223"/>
      <c r="F245" s="223"/>
      <c r="G245" s="223"/>
      <c r="H245" s="223"/>
    </row>
    <row r="246" spans="2:8" ht="37.5" customHeight="1" x14ac:dyDescent="0.25">
      <c r="B246" s="232" t="s">
        <v>609</v>
      </c>
      <c r="C246" s="232"/>
      <c r="D246" s="232"/>
      <c r="E246" s="232"/>
      <c r="F246" s="232"/>
      <c r="G246" s="232"/>
      <c r="H246" s="83"/>
    </row>
    <row r="247" spans="2:8" x14ac:dyDescent="0.2">
      <c r="B247" s="68"/>
      <c r="C247" s="68"/>
      <c r="D247" s="68"/>
      <c r="E247" s="68"/>
      <c r="F247" s="68"/>
      <c r="H247"/>
    </row>
    <row r="248" spans="2:8" ht="14.25" customHeight="1" x14ac:dyDescent="0.2">
      <c r="B248" s="73" t="s">
        <v>610</v>
      </c>
      <c r="H248"/>
    </row>
    <row r="249" spans="2:8" ht="14.25" customHeight="1" x14ac:dyDescent="0.2">
      <c r="H249"/>
    </row>
    <row r="250" spans="2:8" x14ac:dyDescent="0.2">
      <c r="B250" s="41" t="s">
        <v>113</v>
      </c>
      <c r="H250"/>
    </row>
    <row r="251" spans="2:8" ht="14.25" customHeight="1" x14ac:dyDescent="0.25">
      <c r="B251" s="239" t="s">
        <v>618</v>
      </c>
      <c r="C251" s="239"/>
      <c r="D251" s="239"/>
      <c r="E251" s="239"/>
      <c r="F251" s="239"/>
      <c r="G251" s="239"/>
      <c r="H251" s="239"/>
    </row>
    <row r="252" spans="2:8" ht="13.5" customHeight="1" x14ac:dyDescent="0.25">
      <c r="B252" s="239" t="s">
        <v>619</v>
      </c>
      <c r="C252" s="239"/>
      <c r="D252" s="239"/>
      <c r="E252" s="83"/>
      <c r="F252" s="83"/>
      <c r="G252" s="83"/>
      <c r="H252" s="83"/>
    </row>
    <row r="253" spans="2:8" ht="15" customHeight="1" x14ac:dyDescent="0.2">
      <c r="B253" s="41" t="s">
        <v>196</v>
      </c>
      <c r="H253"/>
    </row>
    <row r="254" spans="2:8" ht="20.25" customHeight="1" thickBot="1" x14ac:dyDescent="0.25">
      <c r="B254" s="240"/>
      <c r="C254" s="241"/>
      <c r="D254" s="244" t="s">
        <v>620</v>
      </c>
      <c r="E254" s="245"/>
      <c r="F254" s="245"/>
      <c r="G254" s="245"/>
      <c r="H254" s="246"/>
    </row>
    <row r="255" spans="2:8" ht="20.25" customHeight="1" thickTop="1" thickBot="1" x14ac:dyDescent="0.25">
      <c r="B255" s="242"/>
      <c r="C255" s="243"/>
      <c r="D255" s="247" t="s">
        <v>621</v>
      </c>
      <c r="E255" s="248"/>
      <c r="F255" s="248"/>
      <c r="G255" s="248"/>
      <c r="H255" s="249"/>
    </row>
    <row r="256" spans="2:8" ht="31.5" thickTop="1" thickBot="1" x14ac:dyDescent="0.3">
      <c r="B256" s="46"/>
      <c r="C256" s="47" t="s">
        <v>197</v>
      </c>
      <c r="D256" s="78" t="s">
        <v>588</v>
      </c>
      <c r="E256" s="78" t="s">
        <v>589</v>
      </c>
      <c r="F256" s="46" t="s">
        <v>590</v>
      </c>
      <c r="G256" s="46" t="s">
        <v>591</v>
      </c>
      <c r="H256" s="78" t="s">
        <v>592</v>
      </c>
    </row>
    <row r="257" spans="2:8" ht="13.5" customHeight="1" thickTop="1" x14ac:dyDescent="0.2">
      <c r="B257" s="233" t="s">
        <v>594</v>
      </c>
      <c r="C257" s="51" t="s">
        <v>595</v>
      </c>
      <c r="D257" s="52">
        <v>2.8385215257563274</v>
      </c>
      <c r="E257" s="85">
        <v>2.1442661910097391</v>
      </c>
      <c r="F257" s="53">
        <v>1.9670433128119302</v>
      </c>
      <c r="G257" s="51">
        <v>2.3036673141524773</v>
      </c>
      <c r="H257" s="51">
        <v>4.479216773879604</v>
      </c>
    </row>
    <row r="258" spans="2:8" ht="13.5" customHeight="1" x14ac:dyDescent="0.2">
      <c r="B258" s="234"/>
      <c r="C258" s="56" t="s">
        <v>578</v>
      </c>
      <c r="D258" s="57">
        <v>2.6816102890904028</v>
      </c>
      <c r="E258" s="57">
        <v>2.1315238070075679</v>
      </c>
      <c r="F258" s="58">
        <v>1.7510748100937203</v>
      </c>
      <c r="G258" s="56">
        <v>2.185008370565285</v>
      </c>
      <c r="H258" s="56">
        <v>4.2490268285740838</v>
      </c>
    </row>
    <row r="259" spans="2:8" ht="16.5" x14ac:dyDescent="0.2">
      <c r="B259" s="234"/>
      <c r="C259" s="51" t="s">
        <v>598</v>
      </c>
      <c r="D259" s="52">
        <v>2.3457034716613143</v>
      </c>
      <c r="E259" s="52">
        <v>1.8799422589030452</v>
      </c>
      <c r="F259" s="53">
        <v>1.5872664543078099</v>
      </c>
      <c r="G259" s="51">
        <v>1.9612888926310603</v>
      </c>
      <c r="H259" s="51">
        <v>3.7795744119283086</v>
      </c>
    </row>
    <row r="260" spans="2:8" ht="13.5" customHeight="1" x14ac:dyDescent="0.2">
      <c r="B260" s="234"/>
      <c r="C260" s="56" t="s">
        <v>580</v>
      </c>
      <c r="D260" s="57">
        <v>2.1522540729432671</v>
      </c>
      <c r="E260" s="57">
        <v>1.7941453363373487</v>
      </c>
      <c r="F260" s="58">
        <v>1.601376297725891</v>
      </c>
      <c r="G260" s="56">
        <v>2.0677464993558394</v>
      </c>
      <c r="H260" s="56">
        <v>3.6799518488176752</v>
      </c>
    </row>
    <row r="261" spans="2:8" ht="13.5" customHeight="1" x14ac:dyDescent="0.2">
      <c r="B261" s="234"/>
      <c r="C261" s="51" t="s">
        <v>601</v>
      </c>
      <c r="D261" s="52">
        <v>1.9653453844649509</v>
      </c>
      <c r="E261" s="52">
        <v>1.6539044751189091</v>
      </c>
      <c r="F261" s="53">
        <v>1.4802241001382999</v>
      </c>
      <c r="G261" s="51">
        <v>1.8434231013031355</v>
      </c>
      <c r="H261" s="51">
        <v>3.3511422151155537</v>
      </c>
    </row>
    <row r="262" spans="2:8" ht="13.5" customHeight="1" x14ac:dyDescent="0.2">
      <c r="B262" s="234"/>
      <c r="C262" s="56" t="s">
        <v>602</v>
      </c>
      <c r="D262" s="57">
        <v>1.8993100865074577</v>
      </c>
      <c r="E262" s="57">
        <v>1.4060649404932672</v>
      </c>
      <c r="F262" s="58">
        <v>1.4246900333926067</v>
      </c>
      <c r="G262" s="56">
        <v>1.7192224257241928</v>
      </c>
      <c r="H262" s="56">
        <v>3.1361102822310158</v>
      </c>
    </row>
    <row r="263" spans="2:8" ht="13.5" customHeight="1" x14ac:dyDescent="0.2">
      <c r="B263" s="234"/>
      <c r="C263" s="51" t="s">
        <v>581</v>
      </c>
      <c r="D263" s="52">
        <v>1.9723265690409637</v>
      </c>
      <c r="E263" s="52">
        <v>1.5441653104306379</v>
      </c>
      <c r="F263" s="53">
        <v>1.5160860194396288</v>
      </c>
      <c r="G263" s="51">
        <v>1.2596579501107936</v>
      </c>
      <c r="H263" s="51">
        <v>3.0701678003567849</v>
      </c>
    </row>
    <row r="264" spans="2:8" ht="13.5" customHeight="1" x14ac:dyDescent="0.2">
      <c r="B264" s="234"/>
      <c r="C264" s="55" t="s">
        <v>582</v>
      </c>
      <c r="D264" s="57">
        <v>2.000015721350195</v>
      </c>
      <c r="E264" s="57">
        <v>2.3463381470754654</v>
      </c>
      <c r="F264" s="58">
        <v>2.1059837464723827</v>
      </c>
      <c r="G264" s="56">
        <v>1.7184325868379815</v>
      </c>
      <c r="H264" s="56">
        <v>4.3705214786348945</v>
      </c>
    </row>
    <row r="265" spans="2:8" ht="13.5" customHeight="1" x14ac:dyDescent="0.2">
      <c r="B265" s="235"/>
      <c r="C265" s="50" t="s">
        <v>583</v>
      </c>
      <c r="D265" s="52">
        <v>1.9473374545829216</v>
      </c>
      <c r="E265" s="52">
        <v>1.8124058316060392</v>
      </c>
      <c r="F265" s="53">
        <v>2.0564461138047356</v>
      </c>
      <c r="G265" s="51">
        <v>1.3996436808150061</v>
      </c>
      <c r="H265" s="51">
        <v>3.7212582526292644</v>
      </c>
    </row>
    <row r="266" spans="2:8" ht="18" customHeight="1" x14ac:dyDescent="0.25">
      <c r="B266" s="237" t="s">
        <v>248</v>
      </c>
      <c r="C266" s="238"/>
      <c r="D266" s="62">
        <f>D257</f>
        <v>2.8385215257563274</v>
      </c>
      <c r="E266" s="62">
        <f t="shared" ref="E266:H266" si="31">E257</f>
        <v>2.1442661910097391</v>
      </c>
      <c r="F266" s="87">
        <f t="shared" si="31"/>
        <v>1.9670433128119302</v>
      </c>
      <c r="G266" s="62">
        <f t="shared" si="31"/>
        <v>2.3036673141524773</v>
      </c>
      <c r="H266" s="62">
        <f t="shared" si="31"/>
        <v>4.479216773879604</v>
      </c>
    </row>
    <row r="267" spans="2:8" ht="13.5" customHeight="1" x14ac:dyDescent="0.2">
      <c r="B267" s="236" t="s">
        <v>604</v>
      </c>
      <c r="C267" s="51" t="s">
        <v>595</v>
      </c>
      <c r="D267" s="52">
        <v>1.3267143029389832</v>
      </c>
      <c r="E267" s="52">
        <v>1.5843621823617411</v>
      </c>
      <c r="F267" s="53">
        <v>1.2850689991689161</v>
      </c>
      <c r="G267" s="51">
        <v>1.7059020666794247</v>
      </c>
      <c r="H267" s="51">
        <v>2.924024247664851</v>
      </c>
    </row>
    <row r="268" spans="2:8" ht="13.5" customHeight="1" x14ac:dyDescent="0.2">
      <c r="B268" s="234"/>
      <c r="C268" s="56" t="s">
        <v>578</v>
      </c>
      <c r="D268" s="57">
        <v>1.3045449422972322</v>
      </c>
      <c r="E268" s="57">
        <v>1.2496320872037547</v>
      </c>
      <c r="F268" s="58">
        <v>1.0059639607109145</v>
      </c>
      <c r="G268" s="56">
        <v>1.3904309330330076</v>
      </c>
      <c r="H268" s="56">
        <v>2.4615782231155543</v>
      </c>
    </row>
    <row r="269" spans="2:8" ht="16.5" x14ac:dyDescent="0.2">
      <c r="B269" s="234"/>
      <c r="C269" s="51" t="s">
        <v>598</v>
      </c>
      <c r="D269" s="52">
        <v>1.1044269931354869</v>
      </c>
      <c r="E269" s="52">
        <v>1.0709397473697486</v>
      </c>
      <c r="F269" s="53">
        <v>0.93323918105520587</v>
      </c>
      <c r="G269" s="51">
        <v>1.2614525119857423</v>
      </c>
      <c r="H269" s="51">
        <v>2.1729660748047741</v>
      </c>
    </row>
    <row r="270" spans="2:8" ht="13.5" customHeight="1" x14ac:dyDescent="0.2">
      <c r="B270" s="234"/>
      <c r="C270" s="56" t="s">
        <v>580</v>
      </c>
      <c r="D270" s="57">
        <v>1.2475408024920185</v>
      </c>
      <c r="E270" s="57">
        <v>1.2105143785131141</v>
      </c>
      <c r="F270" s="58">
        <v>1.2127359457408342</v>
      </c>
      <c r="G270" s="56">
        <v>1.0538345630412387</v>
      </c>
      <c r="H270" s="56">
        <v>2.3322960208723109</v>
      </c>
    </row>
    <row r="271" spans="2:8" ht="13.5" customHeight="1" x14ac:dyDescent="0.2">
      <c r="B271" s="234"/>
      <c r="C271" s="51" t="s">
        <v>601</v>
      </c>
      <c r="D271" s="52">
        <v>1.1161795462907484</v>
      </c>
      <c r="E271" s="52">
        <v>1.2314084923888149</v>
      </c>
      <c r="F271" s="53">
        <v>1.2035654166459733</v>
      </c>
      <c r="G271" s="51">
        <v>0.69875144921418586</v>
      </c>
      <c r="H271" s="51">
        <v>2.1365632982782805</v>
      </c>
    </row>
    <row r="272" spans="2:8" ht="13.5" customHeight="1" x14ac:dyDescent="0.2">
      <c r="B272" s="234"/>
      <c r="C272" s="56" t="s">
        <v>602</v>
      </c>
      <c r="D272" s="57">
        <v>1.3529556736664752</v>
      </c>
      <c r="E272" s="57">
        <v>1.1878698070263383</v>
      </c>
      <c r="F272" s="58">
        <v>1.159692227750116</v>
      </c>
      <c r="G272" s="56">
        <v>0.83783196458698284</v>
      </c>
      <c r="H272" s="56">
        <v>2.2606515342871725</v>
      </c>
    </row>
    <row r="273" spans="2:8" ht="13.5" customHeight="1" x14ac:dyDescent="0.2">
      <c r="B273" s="234"/>
      <c r="C273" s="51" t="s">
        <v>581</v>
      </c>
      <c r="D273" s="52">
        <v>1.3131711618085216</v>
      </c>
      <c r="E273" s="52">
        <v>1.0649741385851843</v>
      </c>
      <c r="F273" s="53">
        <v>0.84580863214948232</v>
      </c>
      <c r="G273" s="51">
        <v>0.66341931054237635</v>
      </c>
      <c r="H273" s="51">
        <v>1.9768113150389819</v>
      </c>
    </row>
    <row r="274" spans="2:8" ht="13.5" customHeight="1" x14ac:dyDescent="0.2">
      <c r="B274" s="234"/>
      <c r="C274" s="55" t="s">
        <v>582</v>
      </c>
      <c r="D274" s="57">
        <v>1.2141717470746194</v>
      </c>
      <c r="E274" s="57">
        <v>1.0324634281741194</v>
      </c>
      <c r="F274" s="58">
        <v>0.98582374890096836</v>
      </c>
      <c r="G274" s="56">
        <v>0.87693102165932757</v>
      </c>
      <c r="H274" s="56">
        <v>2.0360383776963098</v>
      </c>
    </row>
    <row r="275" spans="2:8" ht="13.5" customHeight="1" x14ac:dyDescent="0.2">
      <c r="B275" s="235"/>
      <c r="C275" s="50" t="s">
        <v>583</v>
      </c>
      <c r="D275" s="52">
        <v>1.1213384777524962</v>
      </c>
      <c r="E275" s="52">
        <v>1.0701309465959337</v>
      </c>
      <c r="F275" s="53">
        <v>1.0986617034418547</v>
      </c>
      <c r="G275" s="51">
        <v>0.93846395123321236</v>
      </c>
      <c r="H275" s="51">
        <v>2.0792747620177985</v>
      </c>
    </row>
    <row r="276" spans="2:8" ht="18.75" customHeight="1" x14ac:dyDescent="0.25">
      <c r="B276" s="237" t="s">
        <v>248</v>
      </c>
      <c r="C276" s="238"/>
      <c r="D276" s="62">
        <f>D267</f>
        <v>1.3267143029389832</v>
      </c>
      <c r="E276" s="62">
        <f t="shared" ref="E276:H276" si="32">E267</f>
        <v>1.5843621823617411</v>
      </c>
      <c r="F276" s="87">
        <f t="shared" si="32"/>
        <v>1.2850689991689161</v>
      </c>
      <c r="G276" s="62">
        <f t="shared" si="32"/>
        <v>1.7059020666794247</v>
      </c>
      <c r="H276" s="62">
        <f t="shared" si="32"/>
        <v>2.924024247664851</v>
      </c>
    </row>
    <row r="277" spans="2:8" ht="13.5" customHeight="1" x14ac:dyDescent="0.2">
      <c r="B277" s="236" t="s">
        <v>605</v>
      </c>
      <c r="C277" s="51" t="s">
        <v>595</v>
      </c>
      <c r="D277" s="52">
        <v>3.1103379778243627</v>
      </c>
      <c r="E277" s="52">
        <v>2.6444757338137159</v>
      </c>
      <c r="F277" s="53">
        <v>2.336149611627635</v>
      </c>
      <c r="G277" s="51">
        <v>2.8394473481146179</v>
      </c>
      <c r="H277" s="51">
        <v>5.1655742975831629</v>
      </c>
    </row>
    <row r="278" spans="2:8" ht="13.5" customHeight="1" x14ac:dyDescent="0.2">
      <c r="B278" s="234"/>
      <c r="C278" s="56" t="s">
        <v>578</v>
      </c>
      <c r="D278" s="57">
        <v>2.9597828482569497</v>
      </c>
      <c r="E278" s="57">
        <v>2.455469247976211</v>
      </c>
      <c r="F278" s="58">
        <v>2.0113440850936706</v>
      </c>
      <c r="G278" s="56">
        <v>2.5707642090546869</v>
      </c>
      <c r="H278" s="56">
        <v>4.7761248846916828</v>
      </c>
    </row>
    <row r="279" spans="2:8" ht="16.5" x14ac:dyDescent="0.2">
      <c r="B279" s="234"/>
      <c r="C279" s="51" t="s">
        <v>598</v>
      </c>
      <c r="D279" s="52">
        <v>2.5760992580190893</v>
      </c>
      <c r="E279" s="52">
        <v>2.1517385494619674</v>
      </c>
      <c r="F279" s="53">
        <v>1.8338233343808288</v>
      </c>
      <c r="G279" s="51">
        <v>2.3152432606799542</v>
      </c>
      <c r="H279" s="51">
        <v>4.2502264562474847</v>
      </c>
    </row>
    <row r="280" spans="2:8" x14ac:dyDescent="0.2">
      <c r="B280" s="234"/>
      <c r="C280" s="56" t="s">
        <v>580</v>
      </c>
      <c r="D280" s="57">
        <v>2.4668813394691731</v>
      </c>
      <c r="E280" s="57">
        <v>2.1488664220656801</v>
      </c>
      <c r="F280" s="58">
        <v>1.9955131976719518</v>
      </c>
      <c r="G280" s="56">
        <v>2.3062227645454243</v>
      </c>
      <c r="H280" s="56">
        <v>4.2205295822140272</v>
      </c>
    </row>
    <row r="281" spans="2:8" x14ac:dyDescent="0.2">
      <c r="B281" s="234"/>
      <c r="C281" s="51" t="s">
        <v>601</v>
      </c>
      <c r="D281" s="52">
        <v>2.2417337947170117</v>
      </c>
      <c r="E281" s="52">
        <v>2.0446821081980815</v>
      </c>
      <c r="F281" s="53">
        <v>1.8935584872365301</v>
      </c>
      <c r="G281" s="51">
        <v>1.964210717549091</v>
      </c>
      <c r="H281" s="51">
        <v>3.8486248164185022</v>
      </c>
    </row>
    <row r="282" spans="2:8" x14ac:dyDescent="0.2">
      <c r="B282" s="234"/>
      <c r="C282" s="56" t="s">
        <v>602</v>
      </c>
      <c r="D282" s="57">
        <v>2.3064125622910865</v>
      </c>
      <c r="E282" s="57">
        <v>1.827290801600455</v>
      </c>
      <c r="F282" s="58">
        <v>1.8239036163418543</v>
      </c>
      <c r="G282" s="56">
        <v>1.9029187196627884</v>
      </c>
      <c r="H282" s="56">
        <v>3.7356011518759922</v>
      </c>
    </row>
    <row r="283" spans="2:8" x14ac:dyDescent="0.2">
      <c r="B283" s="234"/>
      <c r="C283" s="51" t="s">
        <v>581</v>
      </c>
      <c r="D283" s="52">
        <v>2.3414199456817975</v>
      </c>
      <c r="E283" s="52">
        <v>1.8618321056139493</v>
      </c>
      <c r="F283" s="53">
        <v>1.7269410610775466</v>
      </c>
      <c r="G283" s="51">
        <v>1.4190060519685137</v>
      </c>
      <c r="H283" s="51">
        <v>3.5414939570239503</v>
      </c>
    </row>
    <row r="284" spans="2:8" x14ac:dyDescent="0.2">
      <c r="B284" s="234"/>
      <c r="C284" s="55" t="s">
        <v>582</v>
      </c>
      <c r="D284" s="57">
        <v>2.3133289638342709</v>
      </c>
      <c r="E284" s="57">
        <v>1.8683750363173413</v>
      </c>
      <c r="F284" s="58">
        <v>1.7446496079144964</v>
      </c>
      <c r="G284" s="56">
        <v>1.4430007488658678</v>
      </c>
      <c r="H284" s="56">
        <v>3.5314178902062281</v>
      </c>
    </row>
    <row r="285" spans="2:8" x14ac:dyDescent="0.2">
      <c r="B285" s="235"/>
      <c r="C285" s="50" t="s">
        <v>583</v>
      </c>
      <c r="D285" s="52">
        <v>2.2226387034319828</v>
      </c>
      <c r="E285" s="52">
        <v>1.940272332481096</v>
      </c>
      <c r="F285" s="53">
        <v>1.8735770250144366</v>
      </c>
      <c r="G285" s="51">
        <v>1.3739457536823518</v>
      </c>
      <c r="H285" s="51">
        <v>3.5207442692590498</v>
      </c>
    </row>
    <row r="286" spans="2:8" ht="18" customHeight="1" x14ac:dyDescent="0.25">
      <c r="B286" s="237" t="s">
        <v>248</v>
      </c>
      <c r="C286" s="238"/>
      <c r="D286" s="62">
        <f>D277</f>
        <v>3.1103379778243627</v>
      </c>
      <c r="E286" s="86">
        <f t="shared" ref="E286:H286" si="33">E277</f>
        <v>2.6444757338137159</v>
      </c>
      <c r="F286" s="87">
        <f t="shared" si="33"/>
        <v>2.336149611627635</v>
      </c>
      <c r="G286" s="62">
        <f t="shared" si="33"/>
        <v>2.8394473481146179</v>
      </c>
      <c r="H286" s="62">
        <f t="shared" si="33"/>
        <v>5.1655742975831629</v>
      </c>
    </row>
    <row r="287" spans="2:8" x14ac:dyDescent="0.2">
      <c r="B287" s="66" t="s">
        <v>606</v>
      </c>
      <c r="C287" s="67"/>
      <c r="D287" s="67"/>
      <c r="E287" s="67"/>
      <c r="F287" s="67"/>
      <c r="G287" s="67"/>
      <c r="H287" s="67"/>
    </row>
    <row r="288" spans="2:8" ht="14.25" customHeight="1" x14ac:dyDescent="0.2">
      <c r="B288" s="66" t="s">
        <v>607</v>
      </c>
      <c r="C288" s="67"/>
      <c r="D288" s="67"/>
      <c r="E288" s="67"/>
      <c r="F288" s="67"/>
      <c r="G288" s="67"/>
      <c r="H288" s="67"/>
    </row>
    <row r="289" spans="2:8" ht="24.75" customHeight="1" x14ac:dyDescent="0.2">
      <c r="B289" s="231" t="s">
        <v>608</v>
      </c>
      <c r="C289" s="223"/>
      <c r="D289" s="223"/>
      <c r="E289" s="223"/>
      <c r="F289" s="223"/>
      <c r="G289" s="223"/>
      <c r="H289" s="223"/>
    </row>
    <row r="290" spans="2:8" ht="37.5" customHeight="1" x14ac:dyDescent="0.2">
      <c r="B290" s="232" t="s">
        <v>609</v>
      </c>
      <c r="C290" s="232"/>
      <c r="D290" s="232"/>
      <c r="E290" s="232"/>
      <c r="F290" s="232"/>
      <c r="G290" s="232"/>
      <c r="H290" s="232"/>
    </row>
    <row r="292" spans="2:8" ht="15" x14ac:dyDescent="0.2">
      <c r="B292" s="73" t="s">
        <v>610</v>
      </c>
    </row>
  </sheetData>
  <mergeCells count="74">
    <mergeCell ref="L82:U82"/>
    <mergeCell ref="B4:H4"/>
    <mergeCell ref="K4:T4"/>
    <mergeCell ref="B6:H6"/>
    <mergeCell ref="B17:C17"/>
    <mergeCell ref="B27:C27"/>
    <mergeCell ref="L45:U45"/>
    <mergeCell ref="B46:H46"/>
    <mergeCell ref="B58:C58"/>
    <mergeCell ref="B68:C68"/>
    <mergeCell ref="K33:T34"/>
    <mergeCell ref="B37:C37"/>
    <mergeCell ref="B40:H40"/>
    <mergeCell ref="B41:H41"/>
    <mergeCell ref="B99:C99"/>
    <mergeCell ref="B109:C109"/>
    <mergeCell ref="B119:C119"/>
    <mergeCell ref="B110:B118"/>
    <mergeCell ref="B78:C78"/>
    <mergeCell ref="B81:H81"/>
    <mergeCell ref="B82:G82"/>
    <mergeCell ref="B87:H87"/>
    <mergeCell ref="L119:U119"/>
    <mergeCell ref="B122:H122"/>
    <mergeCell ref="B123:G123"/>
    <mergeCell ref="B128:H128"/>
    <mergeCell ref="B140:C140"/>
    <mergeCell ref="B131:B139"/>
    <mergeCell ref="B150:C150"/>
    <mergeCell ref="L152:U152"/>
    <mergeCell ref="B160:C160"/>
    <mergeCell ref="B163:H163"/>
    <mergeCell ref="B141:B149"/>
    <mergeCell ref="B151:B159"/>
    <mergeCell ref="B213:B221"/>
    <mergeCell ref="B164:G164"/>
    <mergeCell ref="B169:H169"/>
    <mergeCell ref="B181:C181"/>
    <mergeCell ref="B191:C191"/>
    <mergeCell ref="B172:B180"/>
    <mergeCell ref="B182:B190"/>
    <mergeCell ref="B201:C201"/>
    <mergeCell ref="B204:H204"/>
    <mergeCell ref="B205:G205"/>
    <mergeCell ref="B210:H210"/>
    <mergeCell ref="B192:B200"/>
    <mergeCell ref="B222:C222"/>
    <mergeCell ref="B232:C232"/>
    <mergeCell ref="B242:C242"/>
    <mergeCell ref="B245:H245"/>
    <mergeCell ref="B223:B231"/>
    <mergeCell ref="B233:B241"/>
    <mergeCell ref="B246:G246"/>
    <mergeCell ref="B251:H251"/>
    <mergeCell ref="B252:D252"/>
    <mergeCell ref="B254:C255"/>
    <mergeCell ref="D254:H254"/>
    <mergeCell ref="D255:H255"/>
    <mergeCell ref="B289:H289"/>
    <mergeCell ref="B290:H290"/>
    <mergeCell ref="B8:B16"/>
    <mergeCell ref="B18:B26"/>
    <mergeCell ref="B28:B36"/>
    <mergeCell ref="B49:B57"/>
    <mergeCell ref="B59:B67"/>
    <mergeCell ref="B69:B77"/>
    <mergeCell ref="B90:B98"/>
    <mergeCell ref="B100:B108"/>
    <mergeCell ref="B266:C266"/>
    <mergeCell ref="B276:C276"/>
    <mergeCell ref="B286:C286"/>
    <mergeCell ref="B257:B265"/>
    <mergeCell ref="B267:B275"/>
    <mergeCell ref="B277:B285"/>
  </mergeCells>
  <hyperlinks>
    <hyperlink ref="B43" location="Contents!A1" tooltip="Contents Page" display="Return to Contents Page" xr:uid="{2038A41F-B6F5-4FF7-BB36-571845D60C1A}"/>
    <hyperlink ref="B84" location="Contents!A1" tooltip="Contents Page" display="Return to Contents Page" xr:uid="{D7673E19-3B07-4564-9177-F83C0DB1F893}"/>
    <hyperlink ref="B125" location="Contents!A1" tooltip="Contents Page" display="Return to Contents Page" xr:uid="{B7E75C4A-2C9C-4B8A-AEB5-90418E2C8DB0}"/>
    <hyperlink ref="B166" location="Contents!A1" tooltip="Contents Page" display="Return to Contents Page" xr:uid="{83BAE2A0-B65A-45AE-9624-4F05B97C5331}"/>
    <hyperlink ref="B207" location="Contents!A1" tooltip="Contents Page" display="Return to Contents Page" xr:uid="{F955203B-FAF6-4F80-A627-D5E707E5A2F6}"/>
    <hyperlink ref="B248" location="Contents!A1" tooltip="Contents Page" display="Return to Contents Page" xr:uid="{3A40746A-0694-4DC0-979B-F36E2039D734}"/>
    <hyperlink ref="B292" location="Contents!A1" tooltip="Contents Page" display="Return to Contents Page" xr:uid="{2BC66A58-DCE1-4DCF-90AA-49BFCE0E3774}"/>
  </hyperlink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236"/>
  <sheetViews>
    <sheetView showGridLines="0" workbookViewId="0"/>
  </sheetViews>
  <sheetFormatPr defaultColWidth="9" defaultRowHeight="14.25" x14ac:dyDescent="0.2"/>
  <cols>
    <col min="1" max="1" width="7.625" style="39" customWidth="1"/>
    <col min="2" max="2" width="11.625" style="39" customWidth="1"/>
    <col min="3" max="3" width="11.125" style="39" customWidth="1"/>
    <col min="4" max="4" width="13.25" style="39" customWidth="1"/>
    <col min="5" max="5" width="13.625" style="39" customWidth="1"/>
    <col min="6" max="6" width="12" style="39" customWidth="1"/>
    <col min="7" max="7" width="17" style="39" customWidth="1"/>
    <col min="8" max="8" width="4.25" style="39" customWidth="1"/>
    <col min="9" max="9" width="4.875" style="39" bestFit="1" customWidth="1"/>
    <col min="10" max="17" width="8" style="39" customWidth="1"/>
    <col min="18" max="16384" width="9" style="39"/>
  </cols>
  <sheetData>
    <row r="1" spans="1:21" ht="15" x14ac:dyDescent="0.25">
      <c r="B1" s="40" t="s">
        <v>699</v>
      </c>
      <c r="C1" s="41"/>
      <c r="D1" s="41"/>
      <c r="E1" s="41"/>
      <c r="F1" s="41"/>
      <c r="G1" s="41"/>
      <c r="H1" s="41"/>
      <c r="I1" s="41"/>
      <c r="J1" s="41"/>
      <c r="K1" s="41"/>
      <c r="L1" s="41"/>
      <c r="M1" s="41"/>
    </row>
    <row r="3" spans="1:21" x14ac:dyDescent="0.2">
      <c r="B3" s="39" t="s">
        <v>115</v>
      </c>
    </row>
    <row r="4" spans="1:21" ht="15" x14ac:dyDescent="0.25">
      <c r="B4" s="44" t="s">
        <v>116</v>
      </c>
      <c r="K4" s="254" t="s">
        <v>712</v>
      </c>
      <c r="L4" s="254"/>
      <c r="M4" s="254"/>
      <c r="N4" s="254"/>
      <c r="O4" s="254"/>
      <c r="P4" s="254"/>
      <c r="Q4" s="254"/>
      <c r="R4" s="254"/>
      <c r="S4" s="254"/>
      <c r="T4" s="254"/>
      <c r="U4" s="44"/>
    </row>
    <row r="5" spans="1:21" x14ac:dyDescent="0.2">
      <c r="B5" s="41" t="s">
        <v>196</v>
      </c>
    </row>
    <row r="6" spans="1:21" ht="15" customHeight="1" x14ac:dyDescent="0.2">
      <c r="C6" s="159"/>
      <c r="D6" s="195" t="s">
        <v>700</v>
      </c>
      <c r="E6" s="195" t="s">
        <v>701</v>
      </c>
      <c r="F6" s="196" t="s">
        <v>702</v>
      </c>
      <c r="G6" s="195" t="s">
        <v>703</v>
      </c>
    </row>
    <row r="7" spans="1:21" ht="48.75" customHeight="1" thickBot="1" x14ac:dyDescent="0.3">
      <c r="B7" s="47"/>
      <c r="C7" s="197" t="s">
        <v>197</v>
      </c>
      <c r="D7" s="197" t="s">
        <v>704</v>
      </c>
      <c r="E7" s="197" t="s">
        <v>701</v>
      </c>
      <c r="F7" s="197" t="s">
        <v>702</v>
      </c>
      <c r="G7" s="197" t="s">
        <v>703</v>
      </c>
    </row>
    <row r="8" spans="1:21" ht="14.25" customHeight="1" thickTop="1" x14ac:dyDescent="0.2">
      <c r="A8" s="198">
        <v>2014</v>
      </c>
      <c r="B8" s="252" t="s">
        <v>705</v>
      </c>
      <c r="C8" s="50">
        <v>2014</v>
      </c>
      <c r="D8" s="79">
        <v>0.4400402620017263</v>
      </c>
      <c r="E8" s="79">
        <v>0.27732865240247073</v>
      </c>
      <c r="F8" s="79">
        <v>0.19341344851271525</v>
      </c>
      <c r="G8" s="199">
        <v>0.10217042990507925</v>
      </c>
      <c r="M8" s="39">
        <v>2014</v>
      </c>
    </row>
    <row r="9" spans="1:21" ht="15" customHeight="1" x14ac:dyDescent="0.2">
      <c r="A9" s="198">
        <v>2015</v>
      </c>
      <c r="B9" s="253"/>
      <c r="C9" s="55">
        <v>2015</v>
      </c>
      <c r="D9" s="81">
        <v>0.4926376758471942</v>
      </c>
      <c r="E9" s="81">
        <v>0.28498144462444525</v>
      </c>
      <c r="F9" s="81">
        <v>0.16702619341626843</v>
      </c>
      <c r="G9" s="200">
        <v>0.1090846023048592</v>
      </c>
      <c r="M9" s="39">
        <v>2015</v>
      </c>
    </row>
    <row r="10" spans="1:21" ht="14.25" customHeight="1" x14ac:dyDescent="0.2">
      <c r="A10" s="198">
        <v>2016</v>
      </c>
      <c r="B10" s="253"/>
      <c r="C10" s="50">
        <v>2016</v>
      </c>
      <c r="D10" s="79">
        <v>0.44415921066651642</v>
      </c>
      <c r="E10" s="79">
        <v>0.2749989600500044</v>
      </c>
      <c r="F10" s="79">
        <v>0.16960388620748093</v>
      </c>
      <c r="G10" s="199">
        <v>0.10063820391409445</v>
      </c>
      <c r="M10" s="39">
        <v>2016</v>
      </c>
    </row>
    <row r="11" spans="1:21" ht="14.25" customHeight="1" x14ac:dyDescent="0.2">
      <c r="A11" s="198">
        <v>2017</v>
      </c>
      <c r="B11" s="253"/>
      <c r="C11" s="55">
        <v>2017</v>
      </c>
      <c r="D11" s="81">
        <v>0.40734363642067201</v>
      </c>
      <c r="E11" s="81">
        <v>0.31620532571539683</v>
      </c>
      <c r="F11" s="81">
        <v>0.12598658075738617</v>
      </c>
      <c r="G11" s="200">
        <v>0.10397751364505989</v>
      </c>
      <c r="M11" s="39">
        <v>2017</v>
      </c>
    </row>
    <row r="12" spans="1:21" ht="14.25" customHeight="1" x14ac:dyDescent="0.2">
      <c r="A12" s="198">
        <v>2018</v>
      </c>
      <c r="B12" s="253"/>
      <c r="C12" s="50">
        <v>2018</v>
      </c>
      <c r="D12" s="79">
        <v>0.38816493485330184</v>
      </c>
      <c r="E12" s="79">
        <v>0.31102250690262917</v>
      </c>
      <c r="F12" s="79">
        <v>0.16906344112935878</v>
      </c>
      <c r="G12" s="199">
        <v>0.1158750855132745</v>
      </c>
      <c r="M12" s="39">
        <v>2018</v>
      </c>
    </row>
    <row r="13" spans="1:21" ht="14.25" customHeight="1" x14ac:dyDescent="0.2">
      <c r="A13" s="198">
        <v>2019</v>
      </c>
      <c r="B13" s="253"/>
      <c r="C13" s="55">
        <v>2019</v>
      </c>
      <c r="D13" s="81">
        <v>0.37355235653450408</v>
      </c>
      <c r="E13" s="81">
        <v>0.28919891630069028</v>
      </c>
      <c r="F13" s="81">
        <v>0.16991831813524511</v>
      </c>
      <c r="G13" s="200">
        <v>0.12071355319263777</v>
      </c>
      <c r="M13" s="39">
        <v>2019</v>
      </c>
    </row>
    <row r="14" spans="1:21" ht="14.25" customHeight="1" x14ac:dyDescent="0.2">
      <c r="A14" s="198">
        <v>2020</v>
      </c>
      <c r="B14" s="253"/>
      <c r="C14" s="50">
        <v>2020</v>
      </c>
      <c r="D14" s="79">
        <v>0.38317016255553649</v>
      </c>
      <c r="E14" s="79">
        <v>0.34871339949934155</v>
      </c>
      <c r="F14" s="79">
        <v>0.2106188085247433</v>
      </c>
      <c r="G14" s="199">
        <v>0.10398108542336101</v>
      </c>
      <c r="M14" s="39">
        <v>2020</v>
      </c>
    </row>
    <row r="15" spans="1:21" ht="14.25" customHeight="1" x14ac:dyDescent="0.2">
      <c r="A15" s="198"/>
      <c r="B15" s="253"/>
      <c r="C15" s="55">
        <v>2021</v>
      </c>
      <c r="D15" s="81">
        <v>0.3768736983574939</v>
      </c>
      <c r="E15" s="81">
        <v>0.29500111421567787</v>
      </c>
      <c r="F15" s="81">
        <v>0.22419451841823376</v>
      </c>
      <c r="G15" s="200">
        <v>0.11049217326586733</v>
      </c>
      <c r="M15" s="39">
        <v>2021</v>
      </c>
    </row>
    <row r="16" spans="1:21" ht="14.25" customHeight="1" x14ac:dyDescent="0.2">
      <c r="A16" s="198">
        <v>2021</v>
      </c>
      <c r="B16" s="253"/>
      <c r="C16" s="50">
        <v>2022</v>
      </c>
      <c r="D16" s="79">
        <v>0.37225085236840771</v>
      </c>
      <c r="E16" s="79">
        <v>0.30435635733541022</v>
      </c>
      <c r="F16" s="79">
        <v>0.17826148021589119</v>
      </c>
      <c r="G16" s="199">
        <v>0.14288469789833763</v>
      </c>
      <c r="M16" s="39">
        <v>2022</v>
      </c>
    </row>
    <row r="17" spans="1:20" ht="14.25" customHeight="1" x14ac:dyDescent="0.2">
      <c r="A17" s="198"/>
      <c r="B17" s="253"/>
      <c r="C17" s="55">
        <v>2023</v>
      </c>
      <c r="D17" s="81">
        <v>0.4776746591578433</v>
      </c>
      <c r="E17" s="81">
        <v>0.23489083430812085</v>
      </c>
      <c r="F17" s="81">
        <v>0.13852938456140501</v>
      </c>
      <c r="G17" s="200">
        <v>0.16841813498492256</v>
      </c>
      <c r="M17" s="39">
        <v>2023</v>
      </c>
    </row>
    <row r="18" spans="1:20" ht="14.25" customHeight="1" x14ac:dyDescent="0.2">
      <c r="A18" s="198"/>
      <c r="B18" s="253"/>
      <c r="C18" s="50" t="s">
        <v>714</v>
      </c>
      <c r="D18" s="79">
        <v>0.46418618954803276</v>
      </c>
      <c r="E18" s="79">
        <v>0.24214614687858185</v>
      </c>
      <c r="F18" s="79">
        <v>0.19617814995076974</v>
      </c>
      <c r="G18" s="199">
        <v>0.18509720641537725</v>
      </c>
      <c r="M18" s="39">
        <v>2024</v>
      </c>
    </row>
    <row r="19" spans="1:20" ht="30.75" thickBot="1" x14ac:dyDescent="0.25">
      <c r="B19" s="217"/>
      <c r="C19" s="197" t="s">
        <v>706</v>
      </c>
      <c r="D19" s="201">
        <f>D8</f>
        <v>0.4400402620017263</v>
      </c>
      <c r="E19" s="201">
        <f>E8</f>
        <v>0.27732865240247073</v>
      </c>
      <c r="F19" s="201">
        <f>F8</f>
        <v>0.19341344851271525</v>
      </c>
      <c r="G19" s="201">
        <f>G8</f>
        <v>0.10217042990507925</v>
      </c>
    </row>
    <row r="20" spans="1:20" ht="14.25" customHeight="1" thickTop="1" x14ac:dyDescent="0.2">
      <c r="B20" s="252" t="s">
        <v>707</v>
      </c>
      <c r="C20" s="50">
        <v>2014</v>
      </c>
      <c r="D20" s="79">
        <v>0.65622999059341891</v>
      </c>
      <c r="E20" s="79">
        <v>0.41761487384979717</v>
      </c>
      <c r="F20" s="79">
        <v>0.204323687290449</v>
      </c>
      <c r="G20" s="199">
        <v>0.21210789160198631</v>
      </c>
      <c r="H20" s="202"/>
      <c r="I20" s="202"/>
    </row>
    <row r="21" spans="1:20" ht="15" customHeight="1" x14ac:dyDescent="0.2">
      <c r="B21" s="253"/>
      <c r="C21" s="55">
        <v>2015</v>
      </c>
      <c r="D21" s="81">
        <v>0.70178732407507471</v>
      </c>
      <c r="E21" s="81">
        <v>0.44775791898094924</v>
      </c>
      <c r="F21" s="81">
        <v>0.16927785171029205</v>
      </c>
      <c r="G21" s="200">
        <v>0.23578598197695053</v>
      </c>
      <c r="H21" s="202"/>
      <c r="I21" s="202"/>
    </row>
    <row r="22" spans="1:20" ht="14.25" customHeight="1" x14ac:dyDescent="0.2">
      <c r="B22" s="253"/>
      <c r="C22" s="50">
        <v>2016</v>
      </c>
      <c r="D22" s="79">
        <v>0.66557623045876313</v>
      </c>
      <c r="E22" s="79">
        <v>0.46533927979348744</v>
      </c>
      <c r="F22" s="79">
        <v>0.20824579121265724</v>
      </c>
      <c r="G22" s="199">
        <v>0.23481949822072021</v>
      </c>
      <c r="H22" s="202"/>
      <c r="I22" s="202"/>
    </row>
    <row r="23" spans="1:20" ht="14.25" customHeight="1" x14ac:dyDescent="0.2">
      <c r="B23" s="253"/>
      <c r="C23" s="55">
        <v>2017</v>
      </c>
      <c r="D23" s="81">
        <v>0.69485265317135858</v>
      </c>
      <c r="E23" s="81">
        <v>0.50479537807544717</v>
      </c>
      <c r="F23" s="81">
        <v>0.14058214751801154</v>
      </c>
      <c r="G23" s="200">
        <v>0.23201244552760839</v>
      </c>
      <c r="H23" s="202"/>
      <c r="I23" s="202"/>
    </row>
    <row r="24" spans="1:20" ht="14.25" customHeight="1" x14ac:dyDescent="0.2">
      <c r="B24" s="253"/>
      <c r="C24" s="50">
        <v>2018</v>
      </c>
      <c r="D24" s="79">
        <v>0.66790794890841043</v>
      </c>
      <c r="E24" s="79">
        <v>0.47298321227329798</v>
      </c>
      <c r="F24" s="79">
        <v>0.16445106392834161</v>
      </c>
      <c r="G24" s="199">
        <v>0.2356817010457605</v>
      </c>
      <c r="H24" s="202"/>
      <c r="I24" s="202"/>
    </row>
    <row r="25" spans="1:20" ht="14.25" customHeight="1" x14ac:dyDescent="0.2">
      <c r="B25" s="253"/>
      <c r="C25" s="55">
        <v>2019</v>
      </c>
      <c r="D25" s="81">
        <v>0.66953026780924618</v>
      </c>
      <c r="E25" s="81">
        <v>0.45102274000809661</v>
      </c>
      <c r="F25" s="81">
        <v>0.16783160791618273</v>
      </c>
      <c r="G25" s="200">
        <v>0.23549342977103768</v>
      </c>
      <c r="H25" s="202"/>
      <c r="I25" s="202"/>
    </row>
    <row r="26" spans="1:20" ht="14.25" customHeight="1" x14ac:dyDescent="0.2">
      <c r="B26" s="253"/>
      <c r="C26" s="50">
        <v>2020</v>
      </c>
      <c r="D26" s="79">
        <v>0.64703214274971455</v>
      </c>
      <c r="E26" s="79">
        <v>0.50151412892205005</v>
      </c>
      <c r="F26" s="79">
        <v>0.23540696867056701</v>
      </c>
      <c r="G26" s="199">
        <v>0.22883512345616641</v>
      </c>
      <c r="H26" s="202"/>
      <c r="I26" s="202"/>
    </row>
    <row r="27" spans="1:20" ht="14.25" customHeight="1" x14ac:dyDescent="0.2">
      <c r="B27" s="253"/>
      <c r="C27" s="55">
        <v>2021</v>
      </c>
      <c r="D27" s="81">
        <v>0.69797718864460856</v>
      </c>
      <c r="E27" s="81">
        <v>0.4760519550018032</v>
      </c>
      <c r="F27" s="81">
        <v>0.25733719002557459</v>
      </c>
      <c r="G27" s="200">
        <v>0.25497514216394257</v>
      </c>
      <c r="H27" s="202"/>
      <c r="I27" s="202"/>
    </row>
    <row r="28" spans="1:20" ht="14.25" customHeight="1" x14ac:dyDescent="0.2">
      <c r="B28" s="253"/>
      <c r="C28" s="50">
        <v>2022</v>
      </c>
      <c r="D28" s="79">
        <v>0.68127803572833867</v>
      </c>
      <c r="E28" s="79">
        <v>0.43867842079264358</v>
      </c>
      <c r="F28" s="79">
        <v>0.21710173773252697</v>
      </c>
      <c r="G28" s="199">
        <v>0.26695855224751897</v>
      </c>
      <c r="H28" s="202"/>
      <c r="I28" s="202"/>
    </row>
    <row r="29" spans="1:20" ht="14.25" customHeight="1" x14ac:dyDescent="0.2">
      <c r="B29" s="253"/>
      <c r="C29" s="55">
        <v>2023</v>
      </c>
      <c r="D29" s="81">
        <v>0.6517992313962967</v>
      </c>
      <c r="E29" s="81">
        <v>0.49685208760384075</v>
      </c>
      <c r="F29" s="81">
        <v>0.19169370429212476</v>
      </c>
      <c r="G29" s="200">
        <v>0.31782727847656522</v>
      </c>
      <c r="H29" s="202"/>
      <c r="I29" s="202"/>
      <c r="J29" s="202"/>
      <c r="K29" s="202"/>
    </row>
    <row r="30" spans="1:20" ht="14.25" customHeight="1" x14ac:dyDescent="0.2">
      <c r="B30" s="253"/>
      <c r="C30" s="50" t="s">
        <v>714</v>
      </c>
      <c r="D30" s="79">
        <v>0.75005355712258825</v>
      </c>
      <c r="E30" s="79">
        <v>0.41455268320612754</v>
      </c>
      <c r="F30" s="79">
        <v>0.24429921146191771</v>
      </c>
      <c r="G30" s="199">
        <v>0.3317167458014097</v>
      </c>
      <c r="H30" s="202"/>
      <c r="I30" s="202"/>
      <c r="J30" s="202"/>
      <c r="K30" s="202"/>
    </row>
    <row r="31" spans="1:20" ht="30.75" thickBot="1" x14ac:dyDescent="0.3">
      <c r="B31" s="217"/>
      <c r="C31" s="197" t="s">
        <v>706</v>
      </c>
      <c r="D31" s="201">
        <f>D20</f>
        <v>0.65622999059341891</v>
      </c>
      <c r="E31" s="201">
        <f t="shared" ref="E31:G31" si="0">E20</f>
        <v>0.41761487384979717</v>
      </c>
      <c r="F31" s="201">
        <f t="shared" si="0"/>
        <v>0.204323687290449</v>
      </c>
      <c r="G31" s="201">
        <f t="shared" si="0"/>
        <v>0.21210789160198631</v>
      </c>
      <c r="H31" s="202"/>
      <c r="I31" s="202"/>
      <c r="K31" s="254" t="s">
        <v>713</v>
      </c>
      <c r="L31" s="254"/>
      <c r="M31" s="254"/>
      <c r="N31" s="254"/>
      <c r="O31" s="254"/>
      <c r="P31" s="254"/>
      <c r="Q31" s="254"/>
      <c r="R31" s="254"/>
      <c r="S31" s="254"/>
      <c r="T31" s="254"/>
    </row>
    <row r="32" spans="1:20" ht="14.25" customHeight="1" thickTop="1" x14ac:dyDescent="0.2">
      <c r="B32" s="252" t="s">
        <v>708</v>
      </c>
      <c r="C32" s="50">
        <v>2014</v>
      </c>
      <c r="D32" s="79">
        <v>0.42607057480249161</v>
      </c>
      <c r="E32" s="79">
        <v>0.26499819793732965</v>
      </c>
      <c r="F32" s="79">
        <v>0.19235272420234059</v>
      </c>
      <c r="G32" s="199">
        <v>9.3939946894903467E-2</v>
      </c>
      <c r="H32" s="202"/>
    </row>
    <row r="33" spans="2:9" ht="15" customHeight="1" x14ac:dyDescent="0.2">
      <c r="B33" s="253"/>
      <c r="C33" s="55">
        <v>2015</v>
      </c>
      <c r="D33" s="81">
        <v>0.47880003693356316</v>
      </c>
      <c r="E33" s="81">
        <v>0.27177315178313177</v>
      </c>
      <c r="F33" s="81">
        <v>0.16680122561273902</v>
      </c>
      <c r="G33" s="200">
        <v>0.10002530507329591</v>
      </c>
      <c r="H33" s="202"/>
    </row>
    <row r="34" spans="2:9" ht="14.25" customHeight="1" x14ac:dyDescent="0.2">
      <c r="B34" s="253"/>
      <c r="C34" s="50">
        <v>2016</v>
      </c>
      <c r="D34" s="79">
        <v>0.42987144515874759</v>
      </c>
      <c r="E34" s="79">
        <v>0.26136774405026697</v>
      </c>
      <c r="F34" s="79">
        <v>0.16627088695414169</v>
      </c>
      <c r="G34" s="199">
        <v>9.2342793137577983E-2</v>
      </c>
      <c r="H34" s="202"/>
    </row>
    <row r="35" spans="2:9" ht="14.25" customHeight="1" x14ac:dyDescent="0.2">
      <c r="B35" s="253"/>
      <c r="C35" s="55">
        <v>2017</v>
      </c>
      <c r="D35" s="81">
        <v>0.38754950347939116</v>
      </c>
      <c r="E35" s="81">
        <v>0.30087805225040987</v>
      </c>
      <c r="F35" s="81">
        <v>0.12430440383743158</v>
      </c>
      <c r="G35" s="200">
        <v>9.4476636501695799E-2</v>
      </c>
      <c r="H35" s="202"/>
    </row>
    <row r="36" spans="2:9" ht="14.25" customHeight="1" x14ac:dyDescent="0.2">
      <c r="B36" s="253"/>
      <c r="C36" s="50">
        <v>2018</v>
      </c>
      <c r="D36" s="79">
        <v>0.36932945351564267</v>
      </c>
      <c r="E36" s="79">
        <v>0.29652839823642502</v>
      </c>
      <c r="F36" s="79">
        <v>0.16969193960499968</v>
      </c>
      <c r="G36" s="199">
        <v>0.1066346274084605</v>
      </c>
      <c r="H36" s="202"/>
    </row>
    <row r="37" spans="2:9" ht="14.25" customHeight="1" x14ac:dyDescent="0.2">
      <c r="B37" s="253"/>
      <c r="C37" s="55">
        <v>2019</v>
      </c>
      <c r="D37" s="81">
        <v>0.3541648624224355</v>
      </c>
      <c r="E37" s="81">
        <v>0.27408983385330538</v>
      </c>
      <c r="F37" s="81">
        <v>0.17021885879648291</v>
      </c>
      <c r="G37" s="200">
        <v>0.11146930778439426</v>
      </c>
      <c r="H37" s="202"/>
    </row>
    <row r="38" spans="2:9" ht="14.25" customHeight="1" x14ac:dyDescent="0.2">
      <c r="B38" s="253"/>
      <c r="C38" s="50">
        <v>2020</v>
      </c>
      <c r="D38" s="79">
        <v>0.36766032641544066</v>
      </c>
      <c r="E38" s="79">
        <v>0.33620369935001204</v>
      </c>
      <c r="F38" s="79">
        <v>0.20861290848983977</v>
      </c>
      <c r="G38" s="199">
        <v>9.5735407199735389E-2</v>
      </c>
      <c r="H38" s="202"/>
    </row>
    <row r="39" spans="2:9" ht="14.25" customHeight="1" x14ac:dyDescent="0.2">
      <c r="B39" s="253"/>
      <c r="C39" s="55">
        <v>2021</v>
      </c>
      <c r="D39" s="81">
        <v>0.35895996961520593</v>
      </c>
      <c r="E39" s="81">
        <v>0.28060138918060179</v>
      </c>
      <c r="F39" s="81">
        <v>0.22144975801710678</v>
      </c>
      <c r="G39" s="200">
        <v>0.10113346570513404</v>
      </c>
      <c r="H39" s="202"/>
    </row>
    <row r="40" spans="2:9" ht="14.25" customHeight="1" x14ac:dyDescent="0.2">
      <c r="B40" s="253"/>
      <c r="C40" s="50">
        <v>2022</v>
      </c>
      <c r="D40" s="79">
        <v>0.35300575371737192</v>
      </c>
      <c r="E40" s="79">
        <v>0.28594570842050726</v>
      </c>
      <c r="F40" s="79">
        <v>0.17485440690855797</v>
      </c>
      <c r="G40" s="199">
        <v>0.13391330775367549</v>
      </c>
      <c r="H40" s="202"/>
    </row>
    <row r="41" spans="2:9" ht="14.25" customHeight="1" x14ac:dyDescent="0.2">
      <c r="B41" s="253"/>
      <c r="C41" s="55">
        <v>2023</v>
      </c>
      <c r="D41" s="81">
        <v>0.46622826827531827</v>
      </c>
      <c r="E41" s="81">
        <v>0.20985390760997258</v>
      </c>
      <c r="F41" s="81">
        <v>0.13371395230402813</v>
      </c>
      <c r="G41" s="200">
        <v>0.15751556234681216</v>
      </c>
      <c r="H41" s="202"/>
    </row>
    <row r="42" spans="2:9" ht="14.25" customHeight="1" x14ac:dyDescent="0.2">
      <c r="B42" s="253"/>
      <c r="C42" s="50" t="s">
        <v>714</v>
      </c>
      <c r="D42" s="79">
        <v>0.44614949528836084</v>
      </c>
      <c r="E42" s="79">
        <v>0.22685490108347184</v>
      </c>
      <c r="F42" s="79">
        <v>0.1918049368940393</v>
      </c>
      <c r="G42" s="199">
        <v>0.17437707913441902</v>
      </c>
      <c r="H42" s="202"/>
    </row>
    <row r="43" spans="2:9" ht="30.75" thickBot="1" x14ac:dyDescent="0.25">
      <c r="B43" s="217"/>
      <c r="C43" s="197" t="s">
        <v>706</v>
      </c>
      <c r="D43" s="201">
        <f>D32</f>
        <v>0.42607057480249161</v>
      </c>
      <c r="E43" s="201">
        <f t="shared" ref="E43:G43" si="1">E32</f>
        <v>0.26499819793732965</v>
      </c>
      <c r="F43" s="201">
        <f t="shared" si="1"/>
        <v>0.19235272420234059</v>
      </c>
      <c r="G43" s="201">
        <f t="shared" si="1"/>
        <v>9.3939946894903467E-2</v>
      </c>
    </row>
    <row r="44" spans="2:9" ht="15" thickTop="1" x14ac:dyDescent="0.2">
      <c r="B44" s="203"/>
      <c r="C44" s="203"/>
      <c r="D44" s="204"/>
      <c r="E44" s="204"/>
      <c r="F44" s="204"/>
      <c r="G44" s="204"/>
    </row>
    <row r="45" spans="2:9" x14ac:dyDescent="0.2">
      <c r="B45" s="66" t="s">
        <v>709</v>
      </c>
      <c r="C45" s="67"/>
      <c r="D45" s="67"/>
      <c r="E45" s="67"/>
      <c r="F45" s="67"/>
      <c r="G45" s="67"/>
      <c r="H45" s="67"/>
    </row>
    <row r="46" spans="2:9" x14ac:dyDescent="0.2">
      <c r="B46" s="66" t="s">
        <v>710</v>
      </c>
      <c r="C46" s="67"/>
      <c r="D46" s="67"/>
      <c r="E46" s="67"/>
      <c r="F46" s="67"/>
      <c r="G46" s="67"/>
      <c r="H46" s="67"/>
    </row>
    <row r="47" spans="2:9" ht="27" customHeight="1" x14ac:dyDescent="0.2">
      <c r="B47" s="255" t="s">
        <v>715</v>
      </c>
      <c r="C47" s="255"/>
      <c r="D47" s="255"/>
      <c r="E47" s="255"/>
      <c r="F47" s="255"/>
      <c r="G47" s="255"/>
      <c r="H47" s="205"/>
    </row>
    <row r="48" spans="2:9" ht="15" x14ac:dyDescent="0.2">
      <c r="B48" s="73" t="s">
        <v>610</v>
      </c>
      <c r="I48" s="206"/>
    </row>
    <row r="49" spans="2:20" x14ac:dyDescent="0.2">
      <c r="G49" s="74"/>
      <c r="H49" s="207"/>
    </row>
    <row r="50" spans="2:20" x14ac:dyDescent="0.2">
      <c r="B50" s="39" t="s">
        <v>117</v>
      </c>
    </row>
    <row r="51" spans="2:20" ht="15" x14ac:dyDescent="0.25">
      <c r="B51" s="44" t="s">
        <v>118</v>
      </c>
    </row>
    <row r="52" spans="2:20" x14ac:dyDescent="0.2">
      <c r="B52" s="41" t="s">
        <v>196</v>
      </c>
    </row>
    <row r="53" spans="2:20" x14ac:dyDescent="0.2">
      <c r="J53" s="64"/>
      <c r="K53" s="64"/>
      <c r="L53" s="64"/>
      <c r="M53" s="64"/>
      <c r="N53" s="64"/>
    </row>
    <row r="54" spans="2:20" ht="49.5" customHeight="1" thickBot="1" x14ac:dyDescent="0.3">
      <c r="B54" s="47"/>
      <c r="C54" s="197" t="s">
        <v>197</v>
      </c>
      <c r="D54" s="194" t="s">
        <v>704</v>
      </c>
      <c r="E54" s="194" t="s">
        <v>199</v>
      </c>
      <c r="F54" s="197" t="s">
        <v>200</v>
      </c>
      <c r="G54" s="64"/>
      <c r="H54" s="64"/>
      <c r="L54" s="208"/>
      <c r="M54" s="208"/>
      <c r="N54" s="208"/>
      <c r="O54" s="208"/>
      <c r="P54" s="208"/>
      <c r="Q54" s="208"/>
      <c r="R54" s="208"/>
      <c r="S54" s="208"/>
      <c r="T54" s="208"/>
    </row>
    <row r="55" spans="2:20" ht="14.25" customHeight="1" thickTop="1" x14ac:dyDescent="0.2">
      <c r="B55" s="252" t="s">
        <v>705</v>
      </c>
      <c r="C55" s="50">
        <v>2014</v>
      </c>
      <c r="D55" s="79">
        <f t="shared" ref="D55:D89" si="2">D8</f>
        <v>0.4400402620017263</v>
      </c>
      <c r="E55" s="79"/>
      <c r="F55" s="80"/>
      <c r="G55" s="209"/>
      <c r="H55" s="209"/>
      <c r="J55" s="210"/>
      <c r="K55" s="210"/>
      <c r="L55" s="211"/>
      <c r="M55" s="212"/>
      <c r="N55" s="212"/>
    </row>
    <row r="56" spans="2:20" ht="15" customHeight="1" x14ac:dyDescent="0.2">
      <c r="B56" s="253"/>
      <c r="C56" s="55">
        <v>2015</v>
      </c>
      <c r="D56" s="81">
        <f t="shared" si="2"/>
        <v>0.4926376758471942</v>
      </c>
      <c r="E56" s="81">
        <f t="shared" ref="E56:E65" si="3">(D56-$D$66)/$D$66</f>
        <v>0.11952863950722209</v>
      </c>
      <c r="F56" s="82">
        <f t="shared" ref="F56:F61" si="4">(D56-D55)/D55</f>
        <v>0.11952863950722209</v>
      </c>
      <c r="G56" s="209"/>
      <c r="H56" s="209"/>
      <c r="J56" s="210"/>
      <c r="K56" s="210"/>
      <c r="L56" s="211"/>
      <c r="M56" s="212"/>
      <c r="N56" s="212"/>
    </row>
    <row r="57" spans="2:20" ht="14.25" customHeight="1" x14ac:dyDescent="0.2">
      <c r="B57" s="253"/>
      <c r="C57" s="50">
        <v>2016</v>
      </c>
      <c r="D57" s="79">
        <f t="shared" si="2"/>
        <v>0.44415921066651642</v>
      </c>
      <c r="E57" s="79">
        <f t="shared" si="3"/>
        <v>9.3603904471222313E-3</v>
      </c>
      <c r="F57" s="80">
        <f t="shared" si="4"/>
        <v>-9.840592296825218E-2</v>
      </c>
      <c r="G57" s="209"/>
      <c r="H57" s="209"/>
      <c r="J57" s="210"/>
      <c r="K57" s="210"/>
      <c r="L57" s="211"/>
      <c r="M57" s="212"/>
      <c r="N57" s="212"/>
    </row>
    <row r="58" spans="2:20" ht="14.25" customHeight="1" x14ac:dyDescent="0.2">
      <c r="B58" s="253"/>
      <c r="C58" s="55">
        <v>2017</v>
      </c>
      <c r="D58" s="81">
        <f t="shared" si="2"/>
        <v>0.40734363642067201</v>
      </c>
      <c r="E58" s="81">
        <f t="shared" si="3"/>
        <v>-7.4303713556388221E-2</v>
      </c>
      <c r="F58" s="82">
        <f t="shared" si="4"/>
        <v>-8.2888237734838471E-2</v>
      </c>
      <c r="G58" s="209"/>
      <c r="H58" s="209"/>
      <c r="J58" s="210"/>
      <c r="K58" s="210"/>
      <c r="L58" s="211"/>
      <c r="M58" s="212"/>
      <c r="N58" s="212"/>
    </row>
    <row r="59" spans="2:20" ht="14.25" customHeight="1" x14ac:dyDescent="0.2">
      <c r="B59" s="253"/>
      <c r="C59" s="50">
        <v>2018</v>
      </c>
      <c r="D59" s="79">
        <f t="shared" si="2"/>
        <v>0.38816493485330184</v>
      </c>
      <c r="E59" s="79">
        <f t="shared" si="3"/>
        <v>-0.11788768353251493</v>
      </c>
      <c r="F59" s="80">
        <f t="shared" si="4"/>
        <v>-4.7082364501611948E-2</v>
      </c>
      <c r="G59" s="209"/>
      <c r="H59" s="209"/>
      <c r="J59" s="210"/>
      <c r="K59" s="210"/>
      <c r="L59" s="211"/>
      <c r="M59" s="212"/>
      <c r="N59" s="212"/>
    </row>
    <row r="60" spans="2:20" ht="14.25" customHeight="1" x14ac:dyDescent="0.2">
      <c r="B60" s="253"/>
      <c r="C60" s="55">
        <v>2019</v>
      </c>
      <c r="D60" s="81">
        <f t="shared" si="2"/>
        <v>0.37355235653450408</v>
      </c>
      <c r="E60" s="81">
        <f t="shared" si="3"/>
        <v>-0.15109505017738895</v>
      </c>
      <c r="F60" s="82">
        <f t="shared" si="4"/>
        <v>-3.76452817004716E-2</v>
      </c>
      <c r="G60" s="209"/>
      <c r="H60" s="209"/>
      <c r="J60" s="210"/>
      <c r="K60" s="210"/>
      <c r="L60" s="211"/>
      <c r="M60" s="212"/>
      <c r="N60" s="212"/>
    </row>
    <row r="61" spans="2:20" ht="14.25" customHeight="1" x14ac:dyDescent="0.2">
      <c r="B61" s="253"/>
      <c r="C61" s="50">
        <v>2020</v>
      </c>
      <c r="D61" s="79">
        <f t="shared" si="2"/>
        <v>0.38317016255553649</v>
      </c>
      <c r="E61" s="79">
        <f t="shared" si="3"/>
        <v>-0.12923840011250315</v>
      </c>
      <c r="F61" s="80">
        <f t="shared" si="4"/>
        <v>2.574687551233272E-2</v>
      </c>
      <c r="G61" s="209"/>
      <c r="H61" s="209"/>
      <c r="J61" s="210"/>
      <c r="K61" s="210"/>
      <c r="L61" s="211"/>
      <c r="M61" s="212"/>
      <c r="N61" s="212"/>
    </row>
    <row r="62" spans="2:20" ht="14.25" customHeight="1" x14ac:dyDescent="0.2">
      <c r="B62" s="253"/>
      <c r="C62" s="55">
        <v>2021</v>
      </c>
      <c r="D62" s="81">
        <f t="shared" si="2"/>
        <v>0.3768736983574939</v>
      </c>
      <c r="E62" s="81">
        <f t="shared" si="3"/>
        <v>-0.14354723669350192</v>
      </c>
      <c r="F62" s="82">
        <f>(D62-D61)/D61</f>
        <v>-1.6432553505859104E-2</v>
      </c>
      <c r="G62" s="209"/>
      <c r="H62" s="209"/>
      <c r="J62" s="210"/>
      <c r="K62" s="210"/>
      <c r="L62" s="211"/>
      <c r="M62" s="212"/>
      <c r="N62" s="212"/>
    </row>
    <row r="63" spans="2:20" ht="14.25" customHeight="1" x14ac:dyDescent="0.2">
      <c r="B63" s="253"/>
      <c r="C63" s="50">
        <v>2022</v>
      </c>
      <c r="D63" s="79">
        <f t="shared" si="2"/>
        <v>0.37225085236840771</v>
      </c>
      <c r="E63" s="79">
        <f t="shared" si="3"/>
        <v>-0.15405274354884518</v>
      </c>
      <c r="F63" s="80">
        <f>(D63-D62)/D62</f>
        <v>-1.2266300379234905E-2</v>
      </c>
      <c r="G63" s="209"/>
      <c r="H63" s="209"/>
      <c r="J63" s="210"/>
      <c r="K63" s="210"/>
      <c r="L63" s="211"/>
      <c r="M63" s="212"/>
      <c r="N63" s="212"/>
    </row>
    <row r="64" spans="2:20" ht="14.25" customHeight="1" x14ac:dyDescent="0.2">
      <c r="B64" s="253"/>
      <c r="C64" s="55">
        <v>2023</v>
      </c>
      <c r="D64" s="81">
        <f t="shared" si="2"/>
        <v>0.4776746591578433</v>
      </c>
      <c r="E64" s="81">
        <f t="shared" si="3"/>
        <v>8.5524894892389083E-2</v>
      </c>
      <c r="F64" s="82">
        <f>(D64-D63)/D63</f>
        <v>0.28320635431373081</v>
      </c>
      <c r="G64" s="209"/>
      <c r="H64" s="209"/>
      <c r="J64" s="210"/>
      <c r="K64" s="210"/>
      <c r="L64" s="211"/>
      <c r="M64" s="212"/>
      <c r="N64" s="212"/>
    </row>
    <row r="65" spans="2:14" ht="14.25" customHeight="1" x14ac:dyDescent="0.2">
      <c r="B65" s="253"/>
      <c r="C65" s="50" t="s">
        <v>714</v>
      </c>
      <c r="D65" s="79">
        <f t="shared" si="2"/>
        <v>0.46418618954803276</v>
      </c>
      <c r="E65" s="79">
        <f t="shared" si="3"/>
        <v>5.4872087014191738E-2</v>
      </c>
      <c r="F65" s="80">
        <f>(D65-D64)/D64</f>
        <v>-2.8237775128350268E-2</v>
      </c>
      <c r="G65" s="209"/>
      <c r="H65" s="209"/>
      <c r="J65" s="210"/>
      <c r="K65" s="210"/>
      <c r="L65" s="211"/>
      <c r="M65" s="212"/>
      <c r="N65" s="212"/>
    </row>
    <row r="66" spans="2:14" ht="30.75" thickBot="1" x14ac:dyDescent="0.25">
      <c r="B66" s="217"/>
      <c r="C66" s="197" t="s">
        <v>706</v>
      </c>
      <c r="D66" s="213">
        <f t="shared" si="2"/>
        <v>0.4400402620017263</v>
      </c>
      <c r="E66" s="194"/>
      <c r="F66" s="197"/>
      <c r="G66" s="212"/>
      <c r="H66" s="212"/>
      <c r="J66" s="214"/>
      <c r="K66" s="215"/>
      <c r="L66" s="209"/>
      <c r="M66" s="209"/>
      <c r="N66" s="209"/>
    </row>
    <row r="67" spans="2:14" ht="14.25" customHeight="1" thickTop="1" x14ac:dyDescent="0.2">
      <c r="B67" s="252" t="s">
        <v>711</v>
      </c>
      <c r="C67" s="50">
        <v>2014</v>
      </c>
      <c r="D67" s="79">
        <f t="shared" si="2"/>
        <v>0.65622999059341891</v>
      </c>
      <c r="E67" s="79"/>
      <c r="F67" s="80"/>
      <c r="G67" s="209"/>
      <c r="H67" s="209"/>
      <c r="J67" s="210"/>
      <c r="K67" s="210"/>
      <c r="L67" s="211"/>
      <c r="M67" s="212"/>
      <c r="N67" s="212"/>
    </row>
    <row r="68" spans="2:14" ht="15" customHeight="1" x14ac:dyDescent="0.2">
      <c r="B68" s="253"/>
      <c r="C68" s="55">
        <v>2015</v>
      </c>
      <c r="D68" s="81">
        <f t="shared" si="2"/>
        <v>0.70178732407507471</v>
      </c>
      <c r="E68" s="81">
        <f t="shared" ref="E68:E77" si="5">(D68-$D$78)/$D$78</f>
        <v>6.9422815376753794E-2</v>
      </c>
      <c r="F68" s="82">
        <f t="shared" ref="F68:F75" si="6">(D68-D67)/D67</f>
        <v>6.9422815376753794E-2</v>
      </c>
      <c r="G68" s="209"/>
      <c r="H68" s="209"/>
      <c r="J68" s="210"/>
      <c r="K68" s="210"/>
      <c r="L68" s="211"/>
      <c r="M68" s="212"/>
      <c r="N68" s="212"/>
    </row>
    <row r="69" spans="2:14" ht="14.25" customHeight="1" x14ac:dyDescent="0.2">
      <c r="B69" s="253"/>
      <c r="C69" s="50">
        <v>2016</v>
      </c>
      <c r="D69" s="79">
        <f t="shared" si="2"/>
        <v>0.66557623045876313</v>
      </c>
      <c r="E69" s="79">
        <f t="shared" si="5"/>
        <v>1.4242323574533E-2</v>
      </c>
      <c r="F69" s="80">
        <f t="shared" si="6"/>
        <v>-5.1598386539734441E-2</v>
      </c>
      <c r="G69" s="209"/>
      <c r="H69" s="209"/>
      <c r="J69" s="210"/>
      <c r="K69" s="210"/>
      <c r="L69" s="211"/>
      <c r="M69" s="212"/>
      <c r="N69" s="212"/>
    </row>
    <row r="70" spans="2:14" ht="14.25" customHeight="1" x14ac:dyDescent="0.2">
      <c r="B70" s="253"/>
      <c r="C70" s="55">
        <v>2017</v>
      </c>
      <c r="D70" s="81">
        <f t="shared" si="2"/>
        <v>0.69485265317135858</v>
      </c>
      <c r="E70" s="81">
        <f t="shared" si="5"/>
        <v>5.885537560240698E-2</v>
      </c>
      <c r="F70" s="82">
        <f t="shared" si="6"/>
        <v>4.3986580909621771E-2</v>
      </c>
      <c r="G70" s="209"/>
      <c r="H70" s="209"/>
      <c r="J70" s="210"/>
      <c r="K70" s="210"/>
      <c r="L70" s="211"/>
      <c r="M70" s="212"/>
      <c r="N70" s="212"/>
    </row>
    <row r="71" spans="2:14" ht="14.25" customHeight="1" x14ac:dyDescent="0.2">
      <c r="B71" s="253"/>
      <c r="C71" s="50">
        <v>2018</v>
      </c>
      <c r="D71" s="79">
        <f t="shared" si="2"/>
        <v>0.66790794890841043</v>
      </c>
      <c r="E71" s="79">
        <f t="shared" si="5"/>
        <v>1.7795526693974044E-2</v>
      </c>
      <c r="F71" s="80">
        <f t="shared" si="6"/>
        <v>-3.8777579879663029E-2</v>
      </c>
      <c r="G71" s="209"/>
      <c r="H71" s="209"/>
      <c r="J71" s="210"/>
      <c r="K71" s="210"/>
      <c r="L71" s="211"/>
      <c r="M71" s="212"/>
      <c r="N71" s="212"/>
    </row>
    <row r="72" spans="2:14" ht="14.25" customHeight="1" x14ac:dyDescent="0.2">
      <c r="B72" s="253"/>
      <c r="C72" s="55">
        <v>2019</v>
      </c>
      <c r="D72" s="81">
        <f t="shared" si="2"/>
        <v>0.66953026780924618</v>
      </c>
      <c r="E72" s="81">
        <f t="shared" si="5"/>
        <v>2.0267707063799434E-2</v>
      </c>
      <c r="F72" s="82">
        <f t="shared" si="6"/>
        <v>2.4289558216625115E-3</v>
      </c>
      <c r="G72" s="209"/>
      <c r="H72" s="209"/>
      <c r="J72" s="210"/>
      <c r="K72" s="210"/>
      <c r="L72" s="211"/>
      <c r="M72" s="212"/>
      <c r="N72" s="212"/>
    </row>
    <row r="73" spans="2:14" ht="14.25" customHeight="1" x14ac:dyDescent="0.2">
      <c r="B73" s="253"/>
      <c r="C73" s="50">
        <v>2020</v>
      </c>
      <c r="D73" s="79">
        <f t="shared" si="2"/>
        <v>0.64703214274971455</v>
      </c>
      <c r="E73" s="79">
        <f t="shared" si="5"/>
        <v>-1.4016195503937408E-2</v>
      </c>
      <c r="F73" s="80">
        <f t="shared" si="6"/>
        <v>-3.3602849850458902E-2</v>
      </c>
      <c r="G73" s="209"/>
      <c r="H73" s="209"/>
      <c r="J73" s="210"/>
      <c r="K73" s="210"/>
      <c r="L73" s="211"/>
      <c r="M73" s="212"/>
      <c r="N73" s="212"/>
    </row>
    <row r="74" spans="2:14" ht="14.25" customHeight="1" x14ac:dyDescent="0.2">
      <c r="B74" s="253"/>
      <c r="C74" s="55">
        <v>2021</v>
      </c>
      <c r="D74" s="81">
        <f t="shared" si="2"/>
        <v>0.69797718864460856</v>
      </c>
      <c r="E74" s="81">
        <f t="shared" si="5"/>
        <v>6.3616717689842686E-2</v>
      </c>
      <c r="F74" s="82">
        <f t="shared" si="6"/>
        <v>7.873649936213542E-2</v>
      </c>
      <c r="G74" s="209"/>
      <c r="H74" s="209"/>
      <c r="J74" s="210"/>
      <c r="K74" s="210"/>
      <c r="L74" s="211"/>
      <c r="M74" s="212"/>
      <c r="N74" s="212"/>
    </row>
    <row r="75" spans="2:14" ht="14.25" customHeight="1" x14ac:dyDescent="0.2">
      <c r="B75" s="253"/>
      <c r="C75" s="50">
        <v>2022</v>
      </c>
      <c r="D75" s="79">
        <f t="shared" si="2"/>
        <v>0.68127803572833867</v>
      </c>
      <c r="E75" s="79">
        <f t="shared" si="5"/>
        <v>3.816961354093127E-2</v>
      </c>
      <c r="F75" s="80">
        <f t="shared" si="6"/>
        <v>-2.3925069741459207E-2</v>
      </c>
      <c r="G75" s="209"/>
      <c r="H75" s="209"/>
      <c r="J75" s="210"/>
      <c r="K75" s="210"/>
      <c r="L75" s="211"/>
      <c r="M75" s="212"/>
      <c r="N75" s="212"/>
    </row>
    <row r="76" spans="2:14" ht="14.25" customHeight="1" x14ac:dyDescent="0.2">
      <c r="B76" s="253"/>
      <c r="C76" s="55">
        <v>2023</v>
      </c>
      <c r="D76" s="81">
        <f t="shared" si="2"/>
        <v>0.6517992313962967</v>
      </c>
      <c r="E76" s="81">
        <f t="shared" si="5"/>
        <v>-6.7518389293905095E-3</v>
      </c>
      <c r="F76" s="82">
        <f>(D76-D75)/D75</f>
        <v>-4.3269858686295182E-2</v>
      </c>
      <c r="G76" s="209"/>
      <c r="H76" s="209"/>
      <c r="J76" s="210"/>
      <c r="K76" s="210"/>
      <c r="L76" s="211"/>
      <c r="M76" s="212"/>
      <c r="N76" s="212"/>
    </row>
    <row r="77" spans="2:14" ht="14.25" customHeight="1" x14ac:dyDescent="0.2">
      <c r="B77" s="253"/>
      <c r="C77" s="50" t="s">
        <v>714</v>
      </c>
      <c r="D77" s="79">
        <f t="shared" si="2"/>
        <v>0.75005355712258825</v>
      </c>
      <c r="E77" s="79">
        <f t="shared" si="5"/>
        <v>0.14297360357506078</v>
      </c>
      <c r="F77" s="80">
        <f>(D77-D76)/D76</f>
        <v>0.15074323655738175</v>
      </c>
      <c r="G77" s="209"/>
      <c r="H77" s="209"/>
      <c r="J77" s="210"/>
      <c r="K77" s="210"/>
      <c r="L77" s="211"/>
      <c r="M77" s="212"/>
      <c r="N77" s="212"/>
    </row>
    <row r="78" spans="2:14" ht="30.75" thickBot="1" x14ac:dyDescent="0.25">
      <c r="B78" s="217"/>
      <c r="C78" s="197" t="s">
        <v>706</v>
      </c>
      <c r="D78" s="213">
        <f t="shared" si="2"/>
        <v>0.65622999059341891</v>
      </c>
      <c r="E78" s="194"/>
      <c r="F78" s="197"/>
      <c r="G78" s="212"/>
      <c r="H78" s="212"/>
      <c r="J78" s="214"/>
      <c r="K78" s="215"/>
      <c r="L78" s="209"/>
      <c r="M78" s="209"/>
      <c r="N78" s="209"/>
    </row>
    <row r="79" spans="2:14" ht="15" thickTop="1" x14ac:dyDescent="0.2">
      <c r="B79" s="252" t="s">
        <v>708</v>
      </c>
      <c r="C79" s="50">
        <v>2014</v>
      </c>
      <c r="D79" s="79">
        <f t="shared" si="2"/>
        <v>0.42607057480249161</v>
      </c>
      <c r="E79" s="79"/>
      <c r="F79" s="80"/>
      <c r="G79" s="212"/>
      <c r="H79" s="212"/>
      <c r="J79" s="214"/>
      <c r="K79" s="215"/>
      <c r="L79" s="209"/>
      <c r="M79" s="209"/>
      <c r="N79" s="209"/>
    </row>
    <row r="80" spans="2:14" ht="15" customHeight="1" x14ac:dyDescent="0.2">
      <c r="B80" s="253"/>
      <c r="C80" s="55">
        <v>2015</v>
      </c>
      <c r="D80" s="81">
        <f t="shared" si="2"/>
        <v>0.47880003693356316</v>
      </c>
      <c r="E80" s="81">
        <f t="shared" ref="E80:E89" si="7">(D80-$D$90)/$D$90</f>
        <v>0.12375757738143431</v>
      </c>
      <c r="F80" s="82">
        <f>(D80-D79)/D79</f>
        <v>0.12375757738143431</v>
      </c>
      <c r="G80" s="209"/>
      <c r="H80" s="209"/>
      <c r="J80" s="210"/>
      <c r="K80" s="210"/>
      <c r="L80" s="211"/>
      <c r="M80" s="212"/>
      <c r="N80" s="212"/>
    </row>
    <row r="81" spans="2:14" ht="14.25" customHeight="1" x14ac:dyDescent="0.2">
      <c r="B81" s="253"/>
      <c r="C81" s="50">
        <v>2016</v>
      </c>
      <c r="D81" s="79">
        <f t="shared" si="2"/>
        <v>0.42987144515874759</v>
      </c>
      <c r="E81" s="79">
        <f t="shared" si="7"/>
        <v>8.9207529950123977E-3</v>
      </c>
      <c r="F81" s="80">
        <f>(D81-D80)/D80</f>
        <v>-0.10219003341807334</v>
      </c>
      <c r="G81" s="209"/>
      <c r="H81" s="209"/>
      <c r="J81" s="210"/>
      <c r="K81" s="210"/>
      <c r="L81" s="211"/>
      <c r="M81" s="212"/>
      <c r="N81" s="212"/>
    </row>
    <row r="82" spans="2:14" ht="14.25" customHeight="1" x14ac:dyDescent="0.2">
      <c r="B82" s="253"/>
      <c r="C82" s="55">
        <v>2017</v>
      </c>
      <c r="D82" s="81">
        <f t="shared" si="2"/>
        <v>0.38754950347939116</v>
      </c>
      <c r="E82" s="81">
        <f t="shared" si="7"/>
        <v>-9.0410071948660617E-2</v>
      </c>
      <c r="F82" s="82">
        <f t="shared" ref="F82:F87" si="8">(D82-D81)/D81</f>
        <v>-9.8452554027465888E-2</v>
      </c>
      <c r="G82" s="209"/>
      <c r="H82" s="209"/>
      <c r="J82" s="210"/>
      <c r="K82" s="210"/>
      <c r="L82" s="211"/>
      <c r="M82" s="212"/>
      <c r="N82" s="212"/>
    </row>
    <row r="83" spans="2:14" ht="14.25" customHeight="1" x14ac:dyDescent="0.2">
      <c r="B83" s="253"/>
      <c r="C83" s="50">
        <v>2018</v>
      </c>
      <c r="D83" s="79">
        <f t="shared" si="2"/>
        <v>0.36932945351564267</v>
      </c>
      <c r="E83" s="79">
        <f t="shared" si="7"/>
        <v>-0.13317305780421879</v>
      </c>
      <c r="F83" s="80">
        <f t="shared" si="8"/>
        <v>-4.7013477762634724E-2</v>
      </c>
      <c r="G83" s="209"/>
      <c r="H83" s="209"/>
      <c r="J83" s="210"/>
      <c r="K83" s="210"/>
      <c r="L83" s="211"/>
      <c r="M83" s="212"/>
      <c r="N83" s="212"/>
    </row>
    <row r="84" spans="2:14" ht="14.25" customHeight="1" x14ac:dyDescent="0.2">
      <c r="B84" s="253"/>
      <c r="C84" s="55">
        <v>2019</v>
      </c>
      <c r="D84" s="81">
        <f t="shared" si="2"/>
        <v>0.3541648624224355</v>
      </c>
      <c r="E84" s="81">
        <f t="shared" si="7"/>
        <v>-0.16876479304722833</v>
      </c>
      <c r="F84" s="82">
        <f t="shared" si="8"/>
        <v>-4.1059793495632713E-2</v>
      </c>
      <c r="G84" s="209"/>
      <c r="H84" s="209"/>
      <c r="J84" s="210"/>
      <c r="K84" s="210"/>
      <c r="L84" s="211"/>
      <c r="M84" s="212"/>
      <c r="N84" s="212"/>
    </row>
    <row r="85" spans="2:14" ht="14.25" customHeight="1" x14ac:dyDescent="0.2">
      <c r="B85" s="253"/>
      <c r="C85" s="50">
        <v>2020</v>
      </c>
      <c r="D85" s="79">
        <f t="shared" si="2"/>
        <v>0.36766032641544066</v>
      </c>
      <c r="E85" s="79">
        <f t="shared" si="7"/>
        <v>-0.1370905475322427</v>
      </c>
      <c r="F85" s="80">
        <f t="shared" si="8"/>
        <v>3.8105033629531111E-2</v>
      </c>
      <c r="G85" s="209"/>
      <c r="H85" s="209"/>
      <c r="J85" s="210"/>
      <c r="K85" s="210"/>
      <c r="L85" s="211"/>
      <c r="M85" s="212"/>
      <c r="N85" s="212"/>
    </row>
    <row r="86" spans="2:14" ht="14.25" customHeight="1" x14ac:dyDescent="0.2">
      <c r="B86" s="253"/>
      <c r="C86" s="55">
        <v>2021</v>
      </c>
      <c r="D86" s="81">
        <f t="shared" si="2"/>
        <v>0.35895996961520593</v>
      </c>
      <c r="E86" s="81">
        <f t="shared" si="7"/>
        <v>-0.15751053735263301</v>
      </c>
      <c r="F86" s="82">
        <f t="shared" si="8"/>
        <v>-2.3664116509551525E-2</v>
      </c>
      <c r="G86" s="209"/>
      <c r="H86" s="209"/>
      <c r="J86" s="210"/>
      <c r="K86" s="210"/>
      <c r="L86" s="211"/>
      <c r="M86" s="212"/>
      <c r="N86" s="212"/>
    </row>
    <row r="87" spans="2:14" ht="14.25" customHeight="1" x14ac:dyDescent="0.2">
      <c r="B87" s="253"/>
      <c r="C87" s="50">
        <v>2022</v>
      </c>
      <c r="D87" s="79">
        <f t="shared" si="2"/>
        <v>0.35300575371737192</v>
      </c>
      <c r="E87" s="79">
        <f t="shared" si="7"/>
        <v>-0.17148525480547316</v>
      </c>
      <c r="F87" s="80">
        <f t="shared" si="8"/>
        <v>-1.6587409187204777E-2</v>
      </c>
      <c r="G87" s="209"/>
      <c r="H87" s="209"/>
      <c r="J87" s="210"/>
      <c r="K87" s="210"/>
      <c r="L87" s="211"/>
      <c r="M87" s="212"/>
      <c r="N87" s="212"/>
    </row>
    <row r="88" spans="2:14" ht="14.25" customHeight="1" x14ac:dyDescent="0.2">
      <c r="B88" s="253"/>
      <c r="C88" s="55">
        <v>2023</v>
      </c>
      <c r="D88" s="81">
        <f t="shared" si="2"/>
        <v>0.46622826827531827</v>
      </c>
      <c r="E88" s="81">
        <f t="shared" si="7"/>
        <v>9.4251271614901072E-2</v>
      </c>
      <c r="F88" s="82">
        <f>(D88-D87)/D87</f>
        <v>0.32073843943233865</v>
      </c>
      <c r="G88" s="209"/>
      <c r="H88" s="209"/>
      <c r="J88" s="210"/>
      <c r="K88" s="210"/>
      <c r="L88" s="211"/>
      <c r="M88" s="212"/>
      <c r="N88" s="212"/>
    </row>
    <row r="89" spans="2:14" ht="14.25" customHeight="1" x14ac:dyDescent="0.2">
      <c r="B89" s="253"/>
      <c r="C89" s="50" t="s">
        <v>714</v>
      </c>
      <c r="D89" s="79">
        <f t="shared" si="2"/>
        <v>0.44614949528836084</v>
      </c>
      <c r="E89" s="79">
        <f t="shared" si="7"/>
        <v>4.7125808899563124E-2</v>
      </c>
      <c r="F89" s="80">
        <f>(D89-D88)/D88</f>
        <v>-4.3066399772869329E-2</v>
      </c>
      <c r="G89" s="209"/>
      <c r="H89" s="209"/>
      <c r="J89" s="210"/>
      <c r="K89" s="210"/>
      <c r="L89" s="211"/>
      <c r="M89" s="212"/>
      <c r="N89" s="212"/>
    </row>
    <row r="90" spans="2:14" ht="30.75" thickBot="1" x14ac:dyDescent="0.25">
      <c r="B90" s="217"/>
      <c r="C90" s="197" t="s">
        <v>706</v>
      </c>
      <c r="D90" s="213">
        <f t="shared" ref="D90" si="9">D43</f>
        <v>0.42607057480249161</v>
      </c>
      <c r="E90" s="194"/>
      <c r="F90" s="197"/>
      <c r="G90" s="212"/>
      <c r="H90" s="212"/>
    </row>
    <row r="91" spans="2:14" ht="15" thickTop="1" x14ac:dyDescent="0.2">
      <c r="D91" s="216"/>
      <c r="I91" s="67"/>
      <c r="J91" s="67"/>
      <c r="K91" s="67"/>
      <c r="L91" s="67"/>
    </row>
    <row r="92" spans="2:14" x14ac:dyDescent="0.2">
      <c r="B92" s="66" t="s">
        <v>709</v>
      </c>
      <c r="C92" s="67"/>
      <c r="D92" s="67"/>
      <c r="E92" s="67"/>
      <c r="F92" s="67"/>
      <c r="G92" s="67"/>
      <c r="H92" s="67"/>
    </row>
    <row r="93" spans="2:14" x14ac:dyDescent="0.2">
      <c r="B93" s="66" t="s">
        <v>710</v>
      </c>
      <c r="C93" s="67"/>
      <c r="D93" s="67"/>
      <c r="E93" s="67"/>
      <c r="F93" s="67"/>
      <c r="G93" s="67"/>
      <c r="H93" s="67"/>
    </row>
    <row r="94" spans="2:14" ht="25.5" customHeight="1" x14ac:dyDescent="0.2">
      <c r="B94" s="255" t="s">
        <v>715</v>
      </c>
      <c r="C94" s="255"/>
      <c r="D94" s="255"/>
      <c r="E94" s="255"/>
      <c r="F94" s="255"/>
      <c r="G94" s="255"/>
      <c r="H94" s="205"/>
    </row>
    <row r="95" spans="2:14" ht="15" x14ac:dyDescent="0.2">
      <c r="B95" s="73" t="s">
        <v>610</v>
      </c>
    </row>
    <row r="97" spans="2:14" x14ac:dyDescent="0.2">
      <c r="B97" s="39" t="s">
        <v>119</v>
      </c>
    </row>
    <row r="98" spans="2:14" ht="15" x14ac:dyDescent="0.25">
      <c r="B98" s="44" t="s">
        <v>120</v>
      </c>
    </row>
    <row r="99" spans="2:14" x14ac:dyDescent="0.2">
      <c r="B99" s="41" t="s">
        <v>196</v>
      </c>
    </row>
    <row r="100" spans="2:14" x14ac:dyDescent="0.2">
      <c r="J100" s="64"/>
      <c r="K100" s="64"/>
      <c r="L100" s="64"/>
      <c r="M100" s="64"/>
      <c r="N100" s="64"/>
    </row>
    <row r="101" spans="2:14" ht="45.75" thickBot="1" x14ac:dyDescent="0.3">
      <c r="B101" s="47"/>
      <c r="C101" s="197" t="s">
        <v>197</v>
      </c>
      <c r="D101" s="194" t="s">
        <v>701</v>
      </c>
      <c r="E101" s="194" t="s">
        <v>199</v>
      </c>
      <c r="F101" s="197" t="s">
        <v>200</v>
      </c>
      <c r="G101" s="64"/>
      <c r="H101" s="64"/>
      <c r="J101" s="214"/>
      <c r="K101" s="215"/>
      <c r="L101" s="209"/>
      <c r="M101" s="209"/>
      <c r="N101" s="209"/>
    </row>
    <row r="102" spans="2:14" ht="14.25" customHeight="1" thickTop="1" x14ac:dyDescent="0.2">
      <c r="B102" s="252" t="s">
        <v>705</v>
      </c>
      <c r="C102" s="50">
        <v>2014</v>
      </c>
      <c r="D102" s="79">
        <f t="shared" ref="D102:D136" si="10">E8</f>
        <v>0.27732865240247073</v>
      </c>
      <c r="E102" s="79"/>
      <c r="F102" s="80"/>
      <c r="G102" s="209"/>
      <c r="H102" s="209"/>
      <c r="J102" s="210"/>
      <c r="K102" s="210"/>
      <c r="L102" s="211"/>
      <c r="M102" s="212"/>
      <c r="N102" s="212"/>
    </row>
    <row r="103" spans="2:14" ht="14.25" customHeight="1" x14ac:dyDescent="0.2">
      <c r="B103" s="253"/>
      <c r="C103" s="55">
        <v>2015</v>
      </c>
      <c r="D103" s="81">
        <f t="shared" si="10"/>
        <v>0.28498144462444525</v>
      </c>
      <c r="E103" s="81">
        <f t="shared" ref="E103:E112" si="11">(D103-$D$113)/$D$113</f>
        <v>2.7594668476117162E-2</v>
      </c>
      <c r="F103" s="82">
        <f>(D103-D102)/D102</f>
        <v>2.7594668476117162E-2</v>
      </c>
      <c r="G103" s="209"/>
      <c r="H103" s="209"/>
      <c r="J103" s="210"/>
      <c r="L103" s="211"/>
      <c r="M103" s="212"/>
      <c r="N103" s="212"/>
    </row>
    <row r="104" spans="2:14" ht="14.25" customHeight="1" x14ac:dyDescent="0.2">
      <c r="B104" s="253"/>
      <c r="C104" s="50">
        <v>2016</v>
      </c>
      <c r="D104" s="79">
        <f t="shared" si="10"/>
        <v>0.2749989600500044</v>
      </c>
      <c r="E104" s="79">
        <f t="shared" si="11"/>
        <v>-8.4004747878895069E-3</v>
      </c>
      <c r="F104" s="80">
        <f>(D104-D103)/D103</f>
        <v>-3.5028542253324517E-2</v>
      </c>
      <c r="G104" s="209"/>
      <c r="H104" s="209"/>
      <c r="J104" s="210"/>
      <c r="K104" s="210"/>
      <c r="L104" s="211"/>
      <c r="M104" s="212"/>
      <c r="N104" s="212"/>
    </row>
    <row r="105" spans="2:14" ht="14.25" customHeight="1" x14ac:dyDescent="0.2">
      <c r="B105" s="253"/>
      <c r="C105" s="55">
        <v>2017</v>
      </c>
      <c r="D105" s="81">
        <f t="shared" si="10"/>
        <v>0.31620532571539683</v>
      </c>
      <c r="E105" s="81">
        <f t="shared" si="11"/>
        <v>0.14018267847963534</v>
      </c>
      <c r="F105" s="82">
        <f t="shared" ref="F105:F110" si="12">(D105-D104)/D104</f>
        <v>0.1498418963398977</v>
      </c>
      <c r="G105" s="209"/>
      <c r="H105" s="209"/>
      <c r="J105" s="210"/>
      <c r="K105" s="210"/>
      <c r="L105" s="211"/>
      <c r="M105" s="212"/>
      <c r="N105" s="212"/>
    </row>
    <row r="106" spans="2:14" ht="14.25" customHeight="1" x14ac:dyDescent="0.2">
      <c r="B106" s="253"/>
      <c r="C106" s="50">
        <v>2018</v>
      </c>
      <c r="D106" s="79">
        <f t="shared" si="10"/>
        <v>0.31102250690262917</v>
      </c>
      <c r="E106" s="79">
        <f t="shared" si="11"/>
        <v>0.12149431444703569</v>
      </c>
      <c r="F106" s="80">
        <f t="shared" si="12"/>
        <v>-1.6390675271018371E-2</v>
      </c>
      <c r="G106" s="209"/>
      <c r="H106" s="209"/>
      <c r="J106" s="210"/>
      <c r="K106" s="210"/>
      <c r="L106" s="211"/>
      <c r="M106" s="212"/>
      <c r="N106" s="212"/>
    </row>
    <row r="107" spans="2:14" ht="14.25" customHeight="1" x14ac:dyDescent="0.2">
      <c r="B107" s="253"/>
      <c r="C107" s="55">
        <v>2019</v>
      </c>
      <c r="D107" s="81">
        <f t="shared" si="10"/>
        <v>0.28919891630069028</v>
      </c>
      <c r="E107" s="81">
        <f t="shared" si="11"/>
        <v>4.2802154755336753E-2</v>
      </c>
      <c r="F107" s="82">
        <f t="shared" si="12"/>
        <v>-7.0167239082704502E-2</v>
      </c>
      <c r="G107" s="209"/>
      <c r="H107" s="209"/>
      <c r="J107" s="210"/>
      <c r="K107" s="210"/>
      <c r="L107" s="211"/>
      <c r="M107" s="212"/>
      <c r="N107" s="212"/>
    </row>
    <row r="108" spans="2:14" ht="14.25" customHeight="1" x14ac:dyDescent="0.2">
      <c r="B108" s="253"/>
      <c r="C108" s="50">
        <v>2020</v>
      </c>
      <c r="D108" s="79">
        <f t="shared" si="10"/>
        <v>0.34871339949934155</v>
      </c>
      <c r="E108" s="79">
        <f t="shared" si="11"/>
        <v>0.2574012691385178</v>
      </c>
      <c r="F108" s="80">
        <f t="shared" si="12"/>
        <v>0.20579082369994764</v>
      </c>
      <c r="G108" s="209"/>
      <c r="H108" s="209"/>
      <c r="J108" s="210"/>
      <c r="K108" s="210"/>
      <c r="L108" s="211"/>
      <c r="M108" s="212"/>
      <c r="N108" s="212"/>
    </row>
    <row r="109" spans="2:14" ht="14.25" customHeight="1" x14ac:dyDescent="0.2">
      <c r="B109" s="253"/>
      <c r="C109" s="55">
        <v>2021</v>
      </c>
      <c r="D109" s="81">
        <f t="shared" si="10"/>
        <v>0.29500111421567787</v>
      </c>
      <c r="E109" s="81">
        <f t="shared" si="11"/>
        <v>6.3723894592615474E-2</v>
      </c>
      <c r="F109" s="82">
        <f t="shared" si="12"/>
        <v>-0.15402988632148934</v>
      </c>
      <c r="G109" s="209"/>
      <c r="H109" s="209"/>
      <c r="J109" s="210"/>
      <c r="K109" s="210"/>
      <c r="L109" s="211"/>
      <c r="M109" s="212"/>
      <c r="N109" s="212"/>
    </row>
    <row r="110" spans="2:14" ht="14.25" customHeight="1" x14ac:dyDescent="0.2">
      <c r="B110" s="253"/>
      <c r="C110" s="50">
        <v>2022</v>
      </c>
      <c r="D110" s="79">
        <f t="shared" si="10"/>
        <v>0.30435635733541022</v>
      </c>
      <c r="E110" s="79">
        <f t="shared" si="11"/>
        <v>9.7457311744751765E-2</v>
      </c>
      <c r="F110" s="80">
        <f t="shared" si="12"/>
        <v>3.1712568763020497E-2</v>
      </c>
      <c r="G110" s="209"/>
      <c r="H110" s="209"/>
      <c r="J110" s="210"/>
      <c r="K110" s="210"/>
      <c r="L110" s="211"/>
      <c r="M110" s="212"/>
      <c r="N110" s="212"/>
    </row>
    <row r="111" spans="2:14" ht="14.25" customHeight="1" x14ac:dyDescent="0.2">
      <c r="B111" s="253"/>
      <c r="C111" s="55">
        <v>2023</v>
      </c>
      <c r="D111" s="81">
        <f t="shared" si="10"/>
        <v>0.23489083430812085</v>
      </c>
      <c r="E111" s="81">
        <f t="shared" si="11"/>
        <v>-0.15302356149180854</v>
      </c>
      <c r="F111" s="82">
        <f>(D111-D110)/D110</f>
        <v>-0.22823746359513755</v>
      </c>
      <c r="G111" s="209"/>
      <c r="H111" s="209"/>
      <c r="J111" s="210"/>
      <c r="K111" s="210"/>
      <c r="L111" s="211"/>
      <c r="M111" s="212"/>
      <c r="N111" s="212"/>
    </row>
    <row r="112" spans="2:14" ht="14.25" customHeight="1" x14ac:dyDescent="0.2">
      <c r="B112" s="253"/>
      <c r="C112" s="50" t="s">
        <v>714</v>
      </c>
      <c r="D112" s="79">
        <f t="shared" si="10"/>
        <v>0.24214614687858185</v>
      </c>
      <c r="E112" s="79">
        <f t="shared" si="11"/>
        <v>-0.12686213710378033</v>
      </c>
      <c r="F112" s="80">
        <f>(D112-D111)/D111</f>
        <v>3.0888019074187267E-2</v>
      </c>
      <c r="G112" s="209"/>
      <c r="H112" s="209"/>
      <c r="J112" s="210"/>
      <c r="K112" s="210"/>
      <c r="L112" s="211"/>
      <c r="M112" s="212"/>
      <c r="N112" s="212"/>
    </row>
    <row r="113" spans="2:14" ht="30.75" thickBot="1" x14ac:dyDescent="0.25">
      <c r="B113" s="217"/>
      <c r="C113" s="197" t="s">
        <v>706</v>
      </c>
      <c r="D113" s="213">
        <f t="shared" si="10"/>
        <v>0.27732865240247073</v>
      </c>
      <c r="E113" s="194"/>
      <c r="F113" s="197"/>
      <c r="G113" s="212"/>
      <c r="H113" s="212"/>
      <c r="J113" s="214"/>
      <c r="L113" s="209"/>
      <c r="M113" s="209"/>
      <c r="N113" s="209"/>
    </row>
    <row r="114" spans="2:14" ht="14.25" customHeight="1" thickTop="1" x14ac:dyDescent="0.2">
      <c r="B114" s="252" t="s">
        <v>711</v>
      </c>
      <c r="C114" s="50">
        <v>2014</v>
      </c>
      <c r="D114" s="79">
        <f t="shared" si="10"/>
        <v>0.41761487384979717</v>
      </c>
      <c r="E114" s="79"/>
      <c r="F114" s="80"/>
      <c r="G114" s="209"/>
      <c r="H114" s="209"/>
      <c r="J114" s="210"/>
      <c r="K114" s="210"/>
      <c r="L114" s="211"/>
      <c r="M114" s="212"/>
      <c r="N114" s="212"/>
    </row>
    <row r="115" spans="2:14" ht="14.25" customHeight="1" x14ac:dyDescent="0.2">
      <c r="B115" s="253"/>
      <c r="C115" s="55">
        <v>2015</v>
      </c>
      <c r="D115" s="81">
        <f t="shared" si="10"/>
        <v>0.44775791898094924</v>
      </c>
      <c r="E115" s="81">
        <f t="shared" ref="E115:E124" si="13">(D115-$D$125)/$D$125</f>
        <v>7.2179050648453591E-2</v>
      </c>
      <c r="F115" s="82">
        <f>(D115-D114)/D114</f>
        <v>7.2179050648453591E-2</v>
      </c>
      <c r="G115" s="209"/>
      <c r="H115" s="209"/>
      <c r="J115" s="210"/>
      <c r="K115" s="210"/>
      <c r="L115" s="211"/>
      <c r="M115" s="212"/>
      <c r="N115" s="212"/>
    </row>
    <row r="116" spans="2:14" ht="14.25" customHeight="1" x14ac:dyDescent="0.2">
      <c r="B116" s="253"/>
      <c r="C116" s="50">
        <v>2016</v>
      </c>
      <c r="D116" s="79">
        <f t="shared" si="10"/>
        <v>0.46533927979348744</v>
      </c>
      <c r="E116" s="79">
        <f t="shared" si="13"/>
        <v>0.11427851097289991</v>
      </c>
      <c r="F116" s="80">
        <f>(D116-D115)/D115</f>
        <v>3.9265326345431374E-2</v>
      </c>
      <c r="G116" s="209"/>
      <c r="H116" s="209"/>
      <c r="J116" s="210"/>
      <c r="K116" s="210"/>
      <c r="L116" s="211"/>
      <c r="M116" s="212"/>
      <c r="N116" s="212"/>
    </row>
    <row r="117" spans="2:14" ht="14.25" customHeight="1" x14ac:dyDescent="0.2">
      <c r="B117" s="253"/>
      <c r="C117" s="55">
        <v>2017</v>
      </c>
      <c r="D117" s="81">
        <f t="shared" si="10"/>
        <v>0.50479537807544717</v>
      </c>
      <c r="E117" s="81">
        <f t="shared" si="13"/>
        <v>0.20875813981904787</v>
      </c>
      <c r="F117" s="82">
        <f t="shared" ref="F117:F121" si="14">(D117-D116)/D116</f>
        <v>8.4789958628615922E-2</v>
      </c>
      <c r="G117" s="209"/>
      <c r="H117" s="209"/>
      <c r="J117" s="210"/>
      <c r="K117" s="210"/>
      <c r="L117" s="211"/>
      <c r="M117" s="212"/>
      <c r="N117" s="212"/>
    </row>
    <row r="118" spans="2:14" ht="14.25" customHeight="1" x14ac:dyDescent="0.2">
      <c r="B118" s="253"/>
      <c r="C118" s="50">
        <v>2018</v>
      </c>
      <c r="D118" s="79">
        <f t="shared" si="10"/>
        <v>0.47298321227329798</v>
      </c>
      <c r="E118" s="79">
        <f t="shared" si="13"/>
        <v>0.13258229505354027</v>
      </c>
      <c r="F118" s="80">
        <f t="shared" si="14"/>
        <v>-6.3019922891200703E-2</v>
      </c>
      <c r="G118" s="209"/>
      <c r="H118" s="209"/>
      <c r="J118" s="210"/>
      <c r="K118" s="210"/>
      <c r="L118" s="211"/>
      <c r="M118" s="212"/>
      <c r="N118" s="212"/>
    </row>
    <row r="119" spans="2:14" ht="14.25" customHeight="1" x14ac:dyDescent="0.2">
      <c r="B119" s="253"/>
      <c r="C119" s="55">
        <v>2019</v>
      </c>
      <c r="D119" s="81">
        <f t="shared" si="10"/>
        <v>0.45102274000809661</v>
      </c>
      <c r="E119" s="81">
        <f t="shared" si="13"/>
        <v>7.9996830214230319E-2</v>
      </c>
      <c r="F119" s="82">
        <f t="shared" si="14"/>
        <v>-4.6429707641530892E-2</v>
      </c>
      <c r="G119" s="209"/>
      <c r="H119" s="209"/>
      <c r="J119" s="210"/>
      <c r="K119" s="210"/>
      <c r="L119" s="211"/>
      <c r="M119" s="212"/>
      <c r="N119" s="212"/>
    </row>
    <row r="120" spans="2:14" ht="14.25" customHeight="1" x14ac:dyDescent="0.2">
      <c r="B120" s="253"/>
      <c r="C120" s="50">
        <v>2020</v>
      </c>
      <c r="D120" s="79">
        <f t="shared" si="10"/>
        <v>0.50151412892205005</v>
      </c>
      <c r="E120" s="79">
        <f t="shared" si="13"/>
        <v>0.20090102227160803</v>
      </c>
      <c r="F120" s="80">
        <f t="shared" si="14"/>
        <v>0.11194865454687947</v>
      </c>
      <c r="G120" s="209"/>
      <c r="H120" s="209"/>
      <c r="J120" s="210"/>
      <c r="K120" s="210"/>
      <c r="L120" s="211"/>
      <c r="M120" s="212"/>
      <c r="N120" s="212"/>
    </row>
    <row r="121" spans="2:14" ht="14.25" customHeight="1" x14ac:dyDescent="0.2">
      <c r="B121" s="253"/>
      <c r="C121" s="55">
        <v>2021</v>
      </c>
      <c r="D121" s="81">
        <f t="shared" si="10"/>
        <v>0.4760519550018032</v>
      </c>
      <c r="E121" s="81">
        <f t="shared" si="13"/>
        <v>0.13993055518665262</v>
      </c>
      <c r="F121" s="82">
        <f t="shared" si="14"/>
        <v>-5.0770601368649422E-2</v>
      </c>
      <c r="G121" s="209"/>
      <c r="H121" s="209"/>
      <c r="J121" s="210"/>
      <c r="K121" s="210"/>
      <c r="L121" s="211"/>
      <c r="M121" s="212"/>
      <c r="N121" s="212"/>
    </row>
    <row r="122" spans="2:14" ht="14.25" customHeight="1" x14ac:dyDescent="0.2">
      <c r="B122" s="253"/>
      <c r="C122" s="50">
        <v>2022</v>
      </c>
      <c r="D122" s="79">
        <f t="shared" si="10"/>
        <v>0.43867842079264358</v>
      </c>
      <c r="E122" s="79">
        <f t="shared" si="13"/>
        <v>5.0437731656134188E-2</v>
      </c>
      <c r="F122" s="80">
        <f>(D122-D121)/D121</f>
        <v>-7.8507259168840202E-2</v>
      </c>
      <c r="G122" s="209"/>
      <c r="H122" s="209"/>
      <c r="J122" s="210"/>
      <c r="K122" s="210"/>
      <c r="L122" s="211"/>
      <c r="M122" s="212"/>
      <c r="N122" s="212"/>
    </row>
    <row r="123" spans="2:14" ht="14.25" customHeight="1" x14ac:dyDescent="0.2">
      <c r="B123" s="253"/>
      <c r="C123" s="55">
        <v>2023</v>
      </c>
      <c r="D123" s="81">
        <f t="shared" si="10"/>
        <v>0.49685208760384075</v>
      </c>
      <c r="E123" s="81">
        <f t="shared" si="13"/>
        <v>0.18973752784136394</v>
      </c>
      <c r="F123" s="82">
        <f>(D123-D122)/D122</f>
        <v>0.13261118863810026</v>
      </c>
      <c r="G123" s="209"/>
      <c r="H123" s="209"/>
      <c r="J123" s="210"/>
      <c r="K123" s="210"/>
      <c r="L123" s="211"/>
      <c r="M123" s="212"/>
      <c r="N123" s="212"/>
    </row>
    <row r="124" spans="2:14" ht="14.25" customHeight="1" x14ac:dyDescent="0.2">
      <c r="B124" s="253"/>
      <c r="C124" s="50" t="s">
        <v>714</v>
      </c>
      <c r="D124" s="79">
        <f t="shared" si="10"/>
        <v>0.41455268320612754</v>
      </c>
      <c r="E124" s="79">
        <f t="shared" si="13"/>
        <v>-7.3325708336025664E-3</v>
      </c>
      <c r="F124" s="80">
        <f>(D124-D123)/D123</f>
        <v>-0.16564165966297337</v>
      </c>
      <c r="G124" s="209"/>
      <c r="H124" s="209"/>
      <c r="J124" s="210"/>
      <c r="K124" s="210"/>
      <c r="L124" s="211"/>
      <c r="M124" s="212"/>
      <c r="N124" s="212"/>
    </row>
    <row r="125" spans="2:14" ht="30.75" thickBot="1" x14ac:dyDescent="0.25">
      <c r="B125" s="217"/>
      <c r="C125" s="197" t="s">
        <v>706</v>
      </c>
      <c r="D125" s="213">
        <f t="shared" si="10"/>
        <v>0.41761487384979717</v>
      </c>
      <c r="E125" s="194"/>
      <c r="F125" s="197"/>
      <c r="G125" s="212"/>
      <c r="H125" s="212"/>
      <c r="J125" s="214"/>
      <c r="K125" s="215"/>
      <c r="L125" s="209"/>
      <c r="M125" s="209"/>
      <c r="N125" s="209"/>
    </row>
    <row r="126" spans="2:14" ht="14.25" customHeight="1" thickTop="1" x14ac:dyDescent="0.2">
      <c r="B126" s="252" t="s">
        <v>708</v>
      </c>
      <c r="C126" s="50">
        <v>2014</v>
      </c>
      <c r="D126" s="79">
        <f t="shared" si="10"/>
        <v>0.26499819793732965</v>
      </c>
      <c r="E126" s="79"/>
      <c r="F126" s="80"/>
      <c r="G126" s="209"/>
      <c r="H126" s="209"/>
      <c r="J126" s="210"/>
      <c r="K126" s="210"/>
      <c r="L126" s="211"/>
      <c r="M126" s="212"/>
      <c r="N126" s="212"/>
    </row>
    <row r="127" spans="2:14" ht="14.25" customHeight="1" x14ac:dyDescent="0.2">
      <c r="B127" s="253"/>
      <c r="C127" s="55">
        <v>2015</v>
      </c>
      <c r="D127" s="81">
        <f t="shared" si="10"/>
        <v>0.27177315178313177</v>
      </c>
      <c r="E127" s="81">
        <f t="shared" ref="E127:E136" si="15">(D127-$D$137)/$D$137</f>
        <v>2.5566037424165258E-2</v>
      </c>
      <c r="F127" s="82">
        <f>(D127-D126)/D126</f>
        <v>2.5566037424165258E-2</v>
      </c>
      <c r="G127" s="209"/>
      <c r="H127" s="209"/>
      <c r="J127" s="210"/>
      <c r="K127" s="210"/>
      <c r="L127" s="211"/>
      <c r="M127" s="212"/>
      <c r="N127" s="212"/>
    </row>
    <row r="128" spans="2:14" ht="14.25" customHeight="1" x14ac:dyDescent="0.2">
      <c r="B128" s="253"/>
      <c r="C128" s="50">
        <v>2016</v>
      </c>
      <c r="D128" s="79">
        <f t="shared" si="10"/>
        <v>0.26136774405026697</v>
      </c>
      <c r="E128" s="79">
        <f t="shared" si="15"/>
        <v>-1.369991915160592E-2</v>
      </c>
      <c r="F128" s="80">
        <f>(D128-D127)/D127</f>
        <v>-3.8287106966210037E-2</v>
      </c>
      <c r="G128" s="209"/>
      <c r="H128" s="209"/>
      <c r="J128" s="210"/>
      <c r="K128" s="210"/>
      <c r="L128" s="211"/>
      <c r="M128" s="212"/>
      <c r="N128" s="212"/>
    </row>
    <row r="129" spans="2:14" ht="14.25" customHeight="1" x14ac:dyDescent="0.2">
      <c r="B129" s="253"/>
      <c r="C129" s="55">
        <v>2017</v>
      </c>
      <c r="D129" s="81">
        <f t="shared" si="10"/>
        <v>0.30087805225040987</v>
      </c>
      <c r="E129" s="81">
        <f t="shared" si="15"/>
        <v>0.13539659738201529</v>
      </c>
      <c r="F129" s="82">
        <f t="shared" ref="F129:F134" si="16">(D129-D128)/D128</f>
        <v>0.15116749904894219</v>
      </c>
      <c r="G129" s="209"/>
      <c r="H129" s="209"/>
      <c r="J129" s="210"/>
      <c r="K129" s="210"/>
      <c r="L129" s="211"/>
      <c r="M129" s="212"/>
      <c r="N129" s="212"/>
    </row>
    <row r="130" spans="2:14" ht="14.25" customHeight="1" x14ac:dyDescent="0.2">
      <c r="B130" s="253"/>
      <c r="C130" s="50">
        <v>2018</v>
      </c>
      <c r="D130" s="79">
        <f t="shared" si="10"/>
        <v>0.29652839823642502</v>
      </c>
      <c r="E130" s="79">
        <f t="shared" si="15"/>
        <v>0.11898269703159285</v>
      </c>
      <c r="F130" s="80">
        <f t="shared" si="16"/>
        <v>-1.4456534737086075E-2</v>
      </c>
      <c r="G130" s="209"/>
      <c r="H130" s="209"/>
      <c r="J130" s="210"/>
      <c r="K130" s="210"/>
      <c r="L130" s="211"/>
      <c r="M130" s="212"/>
      <c r="N130" s="212"/>
    </row>
    <row r="131" spans="2:14" ht="14.25" customHeight="1" x14ac:dyDescent="0.2">
      <c r="B131" s="253"/>
      <c r="C131" s="55">
        <v>2019</v>
      </c>
      <c r="D131" s="81">
        <f t="shared" si="10"/>
        <v>0.27408983385330538</v>
      </c>
      <c r="E131" s="81">
        <f t="shared" si="15"/>
        <v>3.4308293364794275E-2</v>
      </c>
      <c r="F131" s="82">
        <f t="shared" si="16"/>
        <v>-7.567087846078456E-2</v>
      </c>
      <c r="G131" s="209"/>
      <c r="H131" s="209"/>
      <c r="J131" s="210"/>
      <c r="K131" s="210"/>
      <c r="L131" s="211"/>
      <c r="M131" s="212"/>
      <c r="N131" s="212"/>
    </row>
    <row r="132" spans="2:14" ht="14.25" customHeight="1" x14ac:dyDescent="0.2">
      <c r="B132" s="253"/>
      <c r="C132" s="50">
        <v>2020</v>
      </c>
      <c r="D132" s="79">
        <f t="shared" si="10"/>
        <v>0.33620369935001204</v>
      </c>
      <c r="E132" s="79">
        <f t="shared" si="15"/>
        <v>0.26870183256688424</v>
      </c>
      <c r="F132" s="80">
        <f t="shared" si="16"/>
        <v>0.2266186404051396</v>
      </c>
      <c r="G132" s="209"/>
      <c r="H132" s="209"/>
      <c r="J132" s="210"/>
      <c r="K132" s="210"/>
      <c r="L132" s="211"/>
      <c r="M132" s="212"/>
      <c r="N132" s="212"/>
    </row>
    <row r="133" spans="2:14" ht="14.25" customHeight="1" x14ac:dyDescent="0.2">
      <c r="B133" s="253"/>
      <c r="C133" s="55">
        <v>2021</v>
      </c>
      <c r="D133" s="81">
        <f t="shared" si="10"/>
        <v>0.28060138918060179</v>
      </c>
      <c r="E133" s="81">
        <f t="shared" si="15"/>
        <v>5.8880367356166682E-2</v>
      </c>
      <c r="F133" s="82">
        <f t="shared" si="16"/>
        <v>-0.16538280297601449</v>
      </c>
      <c r="G133" s="209"/>
      <c r="H133" s="209"/>
      <c r="J133" s="210"/>
      <c r="K133" s="210"/>
      <c r="L133" s="211"/>
      <c r="M133" s="212"/>
      <c r="N133" s="212"/>
    </row>
    <row r="134" spans="2:14" ht="14.25" customHeight="1" x14ac:dyDescent="0.2">
      <c r="B134" s="253"/>
      <c r="C134" s="50">
        <v>2022</v>
      </c>
      <c r="D134" s="79">
        <f t="shared" si="10"/>
        <v>0.28594570842050726</v>
      </c>
      <c r="E134" s="79">
        <f t="shared" si="15"/>
        <v>7.9047746913854716E-2</v>
      </c>
      <c r="F134" s="80">
        <f t="shared" si="16"/>
        <v>1.9045947190467181E-2</v>
      </c>
      <c r="G134" s="209"/>
      <c r="H134" s="209"/>
      <c r="J134" s="210"/>
      <c r="K134" s="210"/>
      <c r="L134" s="211"/>
      <c r="M134" s="212"/>
      <c r="N134" s="212"/>
    </row>
    <row r="135" spans="2:14" ht="14.25" customHeight="1" x14ac:dyDescent="0.2">
      <c r="B135" s="253"/>
      <c r="C135" s="55">
        <v>2023</v>
      </c>
      <c r="D135" s="81">
        <f t="shared" si="10"/>
        <v>0.20985390760997258</v>
      </c>
      <c r="E135" s="81">
        <f t="shared" si="15"/>
        <v>-0.20809307669480204</v>
      </c>
      <c r="F135" s="82">
        <f>(D135-D134)/D134</f>
        <v>-0.26610576263181845</v>
      </c>
      <c r="G135" s="209"/>
      <c r="H135" s="209"/>
      <c r="J135" s="210"/>
      <c r="K135" s="210"/>
      <c r="L135" s="211"/>
      <c r="M135" s="212"/>
      <c r="N135" s="212"/>
    </row>
    <row r="136" spans="2:14" ht="14.25" customHeight="1" x14ac:dyDescent="0.2">
      <c r="B136" s="253"/>
      <c r="C136" s="50" t="s">
        <v>714</v>
      </c>
      <c r="D136" s="79">
        <f t="shared" si="10"/>
        <v>0.22685490108347184</v>
      </c>
      <c r="E136" s="79">
        <f t="shared" si="15"/>
        <v>-0.14393794807192783</v>
      </c>
      <c r="F136" s="80">
        <f>(D136-D135)/D135</f>
        <v>8.1013471071964674E-2</v>
      </c>
      <c r="G136" s="209"/>
      <c r="H136" s="209"/>
      <c r="J136" s="210"/>
      <c r="K136" s="210"/>
      <c r="L136" s="211"/>
      <c r="M136" s="212"/>
      <c r="N136" s="212"/>
    </row>
    <row r="137" spans="2:14" ht="30.75" thickBot="1" x14ac:dyDescent="0.25">
      <c r="B137" s="217"/>
      <c r="C137" s="197" t="s">
        <v>706</v>
      </c>
      <c r="D137" s="213">
        <f t="shared" ref="D137" si="17">E43</f>
        <v>0.26499819793732965</v>
      </c>
      <c r="E137" s="194"/>
      <c r="F137" s="197"/>
      <c r="G137" s="212"/>
      <c r="H137" s="212"/>
    </row>
    <row r="138" spans="2:14" ht="15" thickTop="1" x14ac:dyDescent="0.2">
      <c r="D138" s="216"/>
      <c r="I138" s="67"/>
      <c r="J138" s="67"/>
      <c r="K138" s="67"/>
      <c r="L138" s="67"/>
    </row>
    <row r="139" spans="2:14" x14ac:dyDescent="0.2">
      <c r="B139" s="66" t="s">
        <v>709</v>
      </c>
      <c r="C139" s="67"/>
      <c r="D139" s="67"/>
      <c r="E139" s="67"/>
      <c r="F139" s="67"/>
      <c r="G139" s="67"/>
      <c r="H139" s="67"/>
    </row>
    <row r="140" spans="2:14" ht="13.5" customHeight="1" x14ac:dyDescent="0.2">
      <c r="B140" s="66" t="s">
        <v>710</v>
      </c>
      <c r="C140" s="67"/>
      <c r="D140" s="67"/>
      <c r="E140" s="67"/>
      <c r="F140" s="67"/>
      <c r="G140" s="67"/>
      <c r="H140" s="67"/>
    </row>
    <row r="141" spans="2:14" ht="23.25" customHeight="1" x14ac:dyDescent="0.2">
      <c r="B141" s="255" t="s">
        <v>715</v>
      </c>
      <c r="C141" s="255"/>
      <c r="D141" s="255"/>
      <c r="E141" s="255"/>
      <c r="F141" s="255"/>
      <c r="G141" s="255"/>
      <c r="H141" s="205"/>
    </row>
    <row r="142" spans="2:14" ht="15" x14ac:dyDescent="0.2">
      <c r="B142" s="73" t="s">
        <v>610</v>
      </c>
    </row>
    <row r="144" spans="2:14" x14ac:dyDescent="0.2">
      <c r="B144" s="39" t="s">
        <v>121</v>
      </c>
    </row>
    <row r="145" spans="2:14" ht="15" x14ac:dyDescent="0.25">
      <c r="B145" s="44" t="s">
        <v>122</v>
      </c>
    </row>
    <row r="146" spans="2:14" x14ac:dyDescent="0.2">
      <c r="B146" s="41" t="s">
        <v>196</v>
      </c>
    </row>
    <row r="147" spans="2:14" x14ac:dyDescent="0.2">
      <c r="J147" s="64"/>
      <c r="K147" s="64"/>
      <c r="L147" s="64"/>
      <c r="M147" s="64"/>
      <c r="N147" s="64"/>
    </row>
    <row r="148" spans="2:14" ht="45.75" thickBot="1" x14ac:dyDescent="0.3">
      <c r="B148" s="47"/>
      <c r="C148" s="197" t="s">
        <v>197</v>
      </c>
      <c r="D148" s="194" t="s">
        <v>702</v>
      </c>
      <c r="E148" s="194" t="s">
        <v>199</v>
      </c>
      <c r="F148" s="197" t="s">
        <v>200</v>
      </c>
      <c r="G148" s="64"/>
      <c r="H148" s="64"/>
      <c r="J148" s="214"/>
      <c r="K148" s="215"/>
      <c r="L148" s="209"/>
      <c r="M148" s="209"/>
      <c r="N148" s="209"/>
    </row>
    <row r="149" spans="2:14" ht="14.25" customHeight="1" thickTop="1" x14ac:dyDescent="0.2">
      <c r="B149" s="252" t="s">
        <v>705</v>
      </c>
      <c r="C149" s="50">
        <v>2014</v>
      </c>
      <c r="D149" s="79">
        <f t="shared" ref="D149:D183" si="18">F8</f>
        <v>0.19341344851271525</v>
      </c>
      <c r="E149" s="79"/>
      <c r="F149" s="80"/>
      <c r="G149" s="209"/>
      <c r="H149" s="209"/>
      <c r="J149" s="210"/>
      <c r="K149" s="210"/>
      <c r="L149" s="211"/>
      <c r="M149" s="212"/>
      <c r="N149" s="212"/>
    </row>
    <row r="150" spans="2:14" ht="15" customHeight="1" x14ac:dyDescent="0.2">
      <c r="B150" s="253"/>
      <c r="C150" s="55">
        <v>2015</v>
      </c>
      <c r="D150" s="81">
        <f t="shared" si="18"/>
        <v>0.16702619341626843</v>
      </c>
      <c r="E150" s="81">
        <f t="shared" ref="E150:E159" si="19">(D150-$D$160)/$D$160</f>
        <v>-0.13642926745454356</v>
      </c>
      <c r="F150" s="82">
        <f>(D150-D149)/D149</f>
        <v>-0.13642926745454356</v>
      </c>
      <c r="G150" s="209"/>
      <c r="H150" s="209"/>
      <c r="J150" s="210"/>
      <c r="K150" s="210"/>
      <c r="L150" s="211"/>
      <c r="M150" s="212"/>
      <c r="N150" s="212"/>
    </row>
    <row r="151" spans="2:14" ht="14.25" customHeight="1" x14ac:dyDescent="0.2">
      <c r="B151" s="253"/>
      <c r="C151" s="50">
        <v>2016</v>
      </c>
      <c r="D151" s="79">
        <f t="shared" si="18"/>
        <v>0.16960388620748093</v>
      </c>
      <c r="E151" s="79">
        <f t="shared" si="19"/>
        <v>-0.12310189642096706</v>
      </c>
      <c r="F151" s="80">
        <f>(D151-D150)/D150</f>
        <v>1.5432865579282466E-2</v>
      </c>
      <c r="G151" s="209"/>
      <c r="H151" s="209"/>
      <c r="J151" s="210"/>
      <c r="K151" s="210"/>
      <c r="L151" s="211"/>
      <c r="M151" s="212"/>
      <c r="N151" s="212"/>
    </row>
    <row r="152" spans="2:14" ht="14.25" customHeight="1" x14ac:dyDescent="0.2">
      <c r="B152" s="253"/>
      <c r="C152" s="55">
        <v>2017</v>
      </c>
      <c r="D152" s="81">
        <f t="shared" si="18"/>
        <v>0.12598658075738617</v>
      </c>
      <c r="E152" s="81">
        <f t="shared" si="19"/>
        <v>-0.3486151985491141</v>
      </c>
      <c r="F152" s="82">
        <f t="shared" ref="F152:F157" si="20">(D152-D151)/D151</f>
        <v>-0.25717161573017588</v>
      </c>
      <c r="G152" s="209"/>
      <c r="H152" s="209"/>
      <c r="J152" s="210"/>
      <c r="K152" s="210"/>
      <c r="L152" s="211"/>
      <c r="M152" s="212"/>
      <c r="N152" s="212"/>
    </row>
    <row r="153" spans="2:14" ht="14.25" customHeight="1" x14ac:dyDescent="0.2">
      <c r="B153" s="253"/>
      <c r="C153" s="50">
        <v>2018</v>
      </c>
      <c r="D153" s="79">
        <f t="shared" si="18"/>
        <v>0.16906344112935878</v>
      </c>
      <c r="E153" s="79">
        <f t="shared" si="19"/>
        <v>-0.12589614409235697</v>
      </c>
      <c r="F153" s="80">
        <f t="shared" si="20"/>
        <v>0.34191625896194633</v>
      </c>
      <c r="G153" s="209"/>
      <c r="H153" s="209"/>
      <c r="J153" s="210"/>
      <c r="K153" s="210"/>
      <c r="L153" s="211"/>
      <c r="M153" s="212"/>
      <c r="N153" s="212"/>
    </row>
    <row r="154" spans="2:14" ht="14.25" customHeight="1" x14ac:dyDescent="0.2">
      <c r="B154" s="253"/>
      <c r="C154" s="55">
        <v>2019</v>
      </c>
      <c r="D154" s="81">
        <f t="shared" si="18"/>
        <v>0.16991831813524511</v>
      </c>
      <c r="E154" s="81">
        <f t="shared" si="19"/>
        <v>-0.12147619805209947</v>
      </c>
      <c r="F154" s="82">
        <f t="shared" si="20"/>
        <v>5.0565456385819954E-3</v>
      </c>
      <c r="G154" s="209"/>
      <c r="H154" s="209"/>
      <c r="J154" s="210"/>
      <c r="K154" s="210"/>
      <c r="L154" s="211"/>
      <c r="M154" s="212"/>
      <c r="N154" s="212"/>
    </row>
    <row r="155" spans="2:14" ht="14.25" customHeight="1" x14ac:dyDescent="0.2">
      <c r="B155" s="253"/>
      <c r="C155" s="50">
        <v>2020</v>
      </c>
      <c r="D155" s="79">
        <f t="shared" si="18"/>
        <v>0.2106188085247433</v>
      </c>
      <c r="E155" s="79">
        <f t="shared" si="19"/>
        <v>8.8956378909178832E-2</v>
      </c>
      <c r="F155" s="80">
        <f t="shared" si="20"/>
        <v>0.23952973897200985</v>
      </c>
      <c r="G155" s="209"/>
      <c r="H155" s="209"/>
      <c r="J155" s="210"/>
      <c r="K155" s="210"/>
      <c r="L155" s="211"/>
      <c r="M155" s="212"/>
      <c r="N155" s="212"/>
    </row>
    <row r="156" spans="2:14" ht="14.25" customHeight="1" x14ac:dyDescent="0.2">
      <c r="B156" s="253"/>
      <c r="C156" s="55">
        <v>2021</v>
      </c>
      <c r="D156" s="81">
        <f t="shared" si="18"/>
        <v>0.22419451841823376</v>
      </c>
      <c r="E156" s="81">
        <f t="shared" si="19"/>
        <v>0.15914648201670903</v>
      </c>
      <c r="F156" s="82">
        <f t="shared" si="20"/>
        <v>6.4456303729852338E-2</v>
      </c>
      <c r="G156" s="209"/>
      <c r="H156" s="209"/>
      <c r="J156" s="210"/>
      <c r="K156" s="210"/>
      <c r="L156" s="211"/>
      <c r="M156" s="212"/>
      <c r="N156" s="212"/>
    </row>
    <row r="157" spans="2:14" ht="14.25" customHeight="1" x14ac:dyDescent="0.2">
      <c r="B157" s="253"/>
      <c r="C157" s="50">
        <v>2022</v>
      </c>
      <c r="D157" s="79">
        <f t="shared" si="18"/>
        <v>0.17826148021589119</v>
      </c>
      <c r="E157" s="79">
        <f t="shared" si="19"/>
        <v>-7.8339786676353815E-2</v>
      </c>
      <c r="F157" s="80">
        <f t="shared" si="20"/>
        <v>-0.20488029112582812</v>
      </c>
      <c r="G157" s="209"/>
      <c r="H157" s="209"/>
      <c r="J157" s="210"/>
      <c r="K157" s="210"/>
      <c r="L157" s="211"/>
      <c r="M157" s="212"/>
      <c r="N157" s="212"/>
    </row>
    <row r="158" spans="2:14" ht="14.25" customHeight="1" x14ac:dyDescent="0.2">
      <c r="B158" s="253"/>
      <c r="C158" s="55">
        <v>2023</v>
      </c>
      <c r="D158" s="81">
        <f t="shared" si="18"/>
        <v>0.13852938456140501</v>
      </c>
      <c r="E158" s="81">
        <f t="shared" si="19"/>
        <v>-0.2837655001415379</v>
      </c>
      <c r="F158" s="82">
        <f>(D158-D157)/D157</f>
        <v>-0.22288660234598595</v>
      </c>
      <c r="G158" s="209"/>
      <c r="H158" s="209"/>
      <c r="J158" s="210"/>
      <c r="K158" s="210"/>
      <c r="L158" s="211"/>
      <c r="M158" s="212"/>
      <c r="N158" s="212"/>
    </row>
    <row r="159" spans="2:14" ht="14.25" customHeight="1" x14ac:dyDescent="0.2">
      <c r="B159" s="253"/>
      <c r="C159" s="50" t="s">
        <v>714</v>
      </c>
      <c r="D159" s="79">
        <f t="shared" si="18"/>
        <v>0.19617814995076974</v>
      </c>
      <c r="E159" s="79">
        <f t="shared" si="19"/>
        <v>1.4294256471378384E-2</v>
      </c>
      <c r="F159" s="80">
        <f>(D159-D158)/D158</f>
        <v>0.41614828198281018</v>
      </c>
      <c r="G159" s="209"/>
      <c r="H159" s="209"/>
      <c r="J159" s="210"/>
      <c r="K159" s="210"/>
      <c r="L159" s="211"/>
      <c r="M159" s="212"/>
      <c r="N159" s="212"/>
    </row>
    <row r="160" spans="2:14" ht="30.75" thickBot="1" x14ac:dyDescent="0.25">
      <c r="B160" s="217"/>
      <c r="C160" s="197" t="s">
        <v>706</v>
      </c>
      <c r="D160" s="213">
        <f t="shared" si="18"/>
        <v>0.19341344851271525</v>
      </c>
      <c r="E160" s="194"/>
      <c r="F160" s="197"/>
      <c r="G160" s="212"/>
      <c r="H160" s="212"/>
      <c r="J160" s="214"/>
      <c r="K160" s="215"/>
      <c r="L160" s="209"/>
      <c r="M160" s="209"/>
      <c r="N160" s="209"/>
    </row>
    <row r="161" spans="2:14" ht="14.25" customHeight="1" thickTop="1" x14ac:dyDescent="0.2">
      <c r="B161" s="252" t="s">
        <v>711</v>
      </c>
      <c r="C161" s="50">
        <v>2014</v>
      </c>
      <c r="D161" s="79">
        <f t="shared" si="18"/>
        <v>0.204323687290449</v>
      </c>
      <c r="E161" s="79"/>
      <c r="F161" s="80"/>
      <c r="G161" s="209"/>
      <c r="H161" s="209"/>
      <c r="J161" s="210"/>
      <c r="K161" s="210"/>
      <c r="L161" s="211"/>
      <c r="M161" s="212"/>
      <c r="N161" s="212"/>
    </row>
    <row r="162" spans="2:14" ht="15" customHeight="1" x14ac:dyDescent="0.2">
      <c r="B162" s="253"/>
      <c r="C162" s="55">
        <v>2015</v>
      </c>
      <c r="D162" s="81">
        <f t="shared" si="18"/>
        <v>0.16927785171029205</v>
      </c>
      <c r="E162" s="81">
        <f t="shared" ref="E162:E171" si="21">(D162-$D$172)/$D$172</f>
        <v>-0.17152115863266895</v>
      </c>
      <c r="F162" s="82">
        <f>(D162-D161)/D161</f>
        <v>-0.17152115863266895</v>
      </c>
      <c r="G162" s="209"/>
      <c r="H162" s="209"/>
      <c r="J162" s="210"/>
      <c r="K162" s="210"/>
      <c r="L162" s="211"/>
      <c r="M162" s="212"/>
      <c r="N162" s="212"/>
    </row>
    <row r="163" spans="2:14" ht="14.25" customHeight="1" x14ac:dyDescent="0.2">
      <c r="B163" s="253"/>
      <c r="C163" s="50">
        <v>2016</v>
      </c>
      <c r="D163" s="79">
        <f t="shared" si="18"/>
        <v>0.20824579121265724</v>
      </c>
      <c r="E163" s="79">
        <f t="shared" si="21"/>
        <v>1.9195542006017689E-2</v>
      </c>
      <c r="F163" s="80">
        <f>(D163-D162)/D162</f>
        <v>0.23020105175399</v>
      </c>
      <c r="G163" s="209"/>
      <c r="H163" s="209"/>
      <c r="J163" s="210"/>
      <c r="K163" s="210"/>
      <c r="L163" s="211"/>
      <c r="M163" s="212"/>
      <c r="N163" s="212"/>
    </row>
    <row r="164" spans="2:14" ht="14.25" customHeight="1" x14ac:dyDescent="0.2">
      <c r="B164" s="253"/>
      <c r="C164" s="55">
        <v>2017</v>
      </c>
      <c r="D164" s="81">
        <f t="shared" si="18"/>
        <v>0.14058214751801154</v>
      </c>
      <c r="E164" s="81">
        <f t="shared" si="21"/>
        <v>-0.31196353500525842</v>
      </c>
      <c r="F164" s="82">
        <f t="shared" ref="F164:F169" si="22">(D164-D163)/D163</f>
        <v>-0.32492202267631271</v>
      </c>
      <c r="G164" s="209"/>
      <c r="H164" s="209"/>
      <c r="J164" s="210"/>
      <c r="K164" s="210"/>
      <c r="L164" s="211"/>
      <c r="M164" s="212"/>
      <c r="N164" s="212"/>
    </row>
    <row r="165" spans="2:14" ht="14.25" customHeight="1" x14ac:dyDescent="0.2">
      <c r="B165" s="253"/>
      <c r="C165" s="50">
        <v>2018</v>
      </c>
      <c r="D165" s="79">
        <f t="shared" si="18"/>
        <v>0.16445106392834161</v>
      </c>
      <c r="E165" s="79">
        <f t="shared" si="21"/>
        <v>-0.19514440000012284</v>
      </c>
      <c r="F165" s="80">
        <f t="shared" si="22"/>
        <v>0.16978625545090606</v>
      </c>
      <c r="G165" s="209"/>
      <c r="H165" s="209"/>
      <c r="J165" s="210"/>
      <c r="K165" s="210"/>
      <c r="L165" s="211"/>
      <c r="M165" s="212"/>
      <c r="N165" s="212"/>
    </row>
    <row r="166" spans="2:14" ht="14.25" customHeight="1" x14ac:dyDescent="0.2">
      <c r="B166" s="253"/>
      <c r="C166" s="55">
        <v>2019</v>
      </c>
      <c r="D166" s="81">
        <f t="shared" si="18"/>
        <v>0.16783160791618273</v>
      </c>
      <c r="E166" s="81">
        <f t="shared" si="21"/>
        <v>-0.17859935799999666</v>
      </c>
      <c r="F166" s="82">
        <f t="shared" si="22"/>
        <v>2.0556534613325312E-2</v>
      </c>
      <c r="G166" s="209"/>
      <c r="H166" s="209"/>
      <c r="J166" s="210"/>
      <c r="K166" s="210"/>
      <c r="L166" s="211"/>
      <c r="M166" s="212"/>
      <c r="N166" s="212"/>
    </row>
    <row r="167" spans="2:14" ht="14.25" customHeight="1" x14ac:dyDescent="0.2">
      <c r="B167" s="253"/>
      <c r="C167" s="50">
        <v>2020</v>
      </c>
      <c r="D167" s="79">
        <f t="shared" si="18"/>
        <v>0.23540696867056701</v>
      </c>
      <c r="E167" s="79">
        <f t="shared" si="21"/>
        <v>0.15212764507295079</v>
      </c>
      <c r="F167" s="80">
        <f t="shared" si="22"/>
        <v>0.4026378677616691</v>
      </c>
      <c r="G167" s="209"/>
      <c r="H167" s="209"/>
      <c r="J167" s="210"/>
      <c r="K167" s="210"/>
      <c r="L167" s="211"/>
      <c r="M167" s="212"/>
      <c r="N167" s="212"/>
    </row>
    <row r="168" spans="2:14" ht="14.25" customHeight="1" x14ac:dyDescent="0.2">
      <c r="B168" s="253"/>
      <c r="C168" s="55">
        <v>2021</v>
      </c>
      <c r="D168" s="81">
        <f t="shared" si="18"/>
        <v>0.25733719002557459</v>
      </c>
      <c r="E168" s="81">
        <f t="shared" si="21"/>
        <v>0.25945842813499226</v>
      </c>
      <c r="F168" s="82">
        <f t="shared" si="22"/>
        <v>9.3158760247650726E-2</v>
      </c>
      <c r="G168" s="209"/>
      <c r="H168" s="209"/>
      <c r="J168" s="210"/>
      <c r="K168" s="210"/>
      <c r="L168" s="211"/>
      <c r="M168" s="212"/>
      <c r="N168" s="212"/>
    </row>
    <row r="169" spans="2:14" ht="14.25" customHeight="1" x14ac:dyDescent="0.2">
      <c r="B169" s="253"/>
      <c r="C169" s="50">
        <v>2022</v>
      </c>
      <c r="D169" s="79">
        <f t="shared" si="18"/>
        <v>0.21710173773252697</v>
      </c>
      <c r="E169" s="79">
        <f t="shared" si="21"/>
        <v>6.2538272539658074E-2</v>
      </c>
      <c r="F169" s="80">
        <f t="shared" si="22"/>
        <v>-0.15635304127261573</v>
      </c>
      <c r="G169" s="209"/>
      <c r="H169" s="209"/>
      <c r="J169" s="210"/>
      <c r="K169" s="210"/>
      <c r="L169" s="211"/>
      <c r="M169" s="212"/>
      <c r="N169" s="212"/>
    </row>
    <row r="170" spans="2:14" ht="14.25" customHeight="1" x14ac:dyDescent="0.2">
      <c r="B170" s="253"/>
      <c r="C170" s="55">
        <v>2023</v>
      </c>
      <c r="D170" s="81">
        <f t="shared" si="18"/>
        <v>0.19169370429212476</v>
      </c>
      <c r="E170" s="81">
        <f t="shared" si="21"/>
        <v>-6.181360157410698E-2</v>
      </c>
      <c r="F170" s="82">
        <f>(D170-D169)/D169</f>
        <v>-0.11703284232439143</v>
      </c>
      <c r="G170" s="209"/>
      <c r="H170" s="209"/>
      <c r="J170" s="210"/>
      <c r="K170" s="210"/>
      <c r="L170" s="211"/>
      <c r="M170" s="212"/>
      <c r="N170" s="212"/>
    </row>
    <row r="171" spans="2:14" ht="14.25" customHeight="1" x14ac:dyDescent="0.2">
      <c r="B171" s="253"/>
      <c r="C171" s="50" t="s">
        <v>714</v>
      </c>
      <c r="D171" s="79">
        <f t="shared" si="18"/>
        <v>0.24429921146191771</v>
      </c>
      <c r="E171" s="79">
        <f t="shared" si="21"/>
        <v>0.19564801664254886</v>
      </c>
      <c r="F171" s="80">
        <f>(D171-D170)/D170</f>
        <v>0.2744248036942657</v>
      </c>
      <c r="G171" s="209"/>
      <c r="H171" s="209"/>
      <c r="J171" s="210"/>
      <c r="K171" s="210"/>
      <c r="L171" s="211"/>
      <c r="M171" s="212"/>
      <c r="N171" s="212"/>
    </row>
    <row r="172" spans="2:14" ht="30.75" thickBot="1" x14ac:dyDescent="0.25">
      <c r="B172" s="217"/>
      <c r="C172" s="197" t="s">
        <v>706</v>
      </c>
      <c r="D172" s="213">
        <f t="shared" si="18"/>
        <v>0.204323687290449</v>
      </c>
      <c r="E172" s="194"/>
      <c r="F172" s="197"/>
      <c r="G172" s="212"/>
      <c r="H172" s="212"/>
      <c r="J172" s="214"/>
      <c r="K172" s="215"/>
      <c r="L172" s="209"/>
      <c r="M172" s="209"/>
      <c r="N172" s="209"/>
    </row>
    <row r="173" spans="2:14" ht="14.25" customHeight="1" thickTop="1" x14ac:dyDescent="0.2">
      <c r="B173" s="252" t="s">
        <v>708</v>
      </c>
      <c r="C173" s="50">
        <v>2014</v>
      </c>
      <c r="D173" s="79">
        <f t="shared" si="18"/>
        <v>0.19235272420234059</v>
      </c>
      <c r="E173" s="79"/>
      <c r="F173" s="80"/>
      <c r="G173" s="209"/>
      <c r="H173" s="209"/>
      <c r="J173" s="210"/>
      <c r="K173" s="210"/>
      <c r="L173" s="211"/>
      <c r="M173" s="212"/>
      <c r="N173" s="212"/>
    </row>
    <row r="174" spans="2:14" ht="15" customHeight="1" x14ac:dyDescent="0.2">
      <c r="B174" s="253"/>
      <c r="C174" s="55">
        <v>2015</v>
      </c>
      <c r="D174" s="81">
        <f t="shared" si="18"/>
        <v>0.16680122561273902</v>
      </c>
      <c r="E174" s="81">
        <f t="shared" ref="E174:E183" si="23">(D174-$D$184)/$D$184</f>
        <v>-0.13283668684995234</v>
      </c>
      <c r="F174" s="82">
        <f>(D174-D173)/D173</f>
        <v>-0.13283668684995234</v>
      </c>
      <c r="G174" s="209"/>
      <c r="H174" s="209"/>
      <c r="J174" s="210"/>
      <c r="K174" s="210"/>
      <c r="L174" s="211"/>
      <c r="M174" s="212"/>
      <c r="N174" s="212"/>
    </row>
    <row r="175" spans="2:14" ht="14.25" customHeight="1" x14ac:dyDescent="0.2">
      <c r="B175" s="253"/>
      <c r="C175" s="50">
        <v>2016</v>
      </c>
      <c r="D175" s="79">
        <f t="shared" si="18"/>
        <v>0.16627088695414169</v>
      </c>
      <c r="E175" s="79">
        <f t="shared" si="23"/>
        <v>-0.13559380225238074</v>
      </c>
      <c r="F175" s="80">
        <f>(D175-D174)/D174</f>
        <v>-3.1794649988281104E-3</v>
      </c>
      <c r="G175" s="209"/>
      <c r="H175" s="209"/>
      <c r="J175" s="210"/>
      <c r="K175" s="210"/>
      <c r="L175" s="211"/>
      <c r="M175" s="212"/>
      <c r="N175" s="212"/>
    </row>
    <row r="176" spans="2:14" ht="14.25" customHeight="1" x14ac:dyDescent="0.2">
      <c r="B176" s="253"/>
      <c r="C176" s="55">
        <v>2017</v>
      </c>
      <c r="D176" s="81">
        <f t="shared" si="18"/>
        <v>0.12430440383743158</v>
      </c>
      <c r="E176" s="81">
        <f t="shared" si="23"/>
        <v>-0.35376842541271891</v>
      </c>
      <c r="F176" s="82">
        <f t="shared" ref="F176:F181" si="24">(D176-D175)/D175</f>
        <v>-0.25239826337297805</v>
      </c>
      <c r="G176" s="209"/>
      <c r="H176" s="209"/>
      <c r="J176" s="210"/>
      <c r="K176" s="210"/>
      <c r="L176" s="211"/>
      <c r="M176" s="212"/>
      <c r="N176" s="212"/>
    </row>
    <row r="177" spans="2:14" ht="14.25" customHeight="1" x14ac:dyDescent="0.2">
      <c r="B177" s="253"/>
      <c r="C177" s="50">
        <v>2018</v>
      </c>
      <c r="D177" s="79">
        <f t="shared" si="18"/>
        <v>0.16969193960499968</v>
      </c>
      <c r="E177" s="79">
        <f t="shared" si="23"/>
        <v>-0.11780849317997429</v>
      </c>
      <c r="F177" s="80">
        <f t="shared" si="24"/>
        <v>0.36513216238844648</v>
      </c>
      <c r="G177" s="209"/>
      <c r="H177" s="209"/>
      <c r="J177" s="210"/>
      <c r="K177" s="210"/>
      <c r="L177" s="211"/>
      <c r="M177" s="212"/>
      <c r="N177" s="212"/>
    </row>
    <row r="178" spans="2:14" ht="14.25" customHeight="1" x14ac:dyDescent="0.2">
      <c r="B178" s="253"/>
      <c r="C178" s="55">
        <v>2019</v>
      </c>
      <c r="D178" s="81">
        <f t="shared" si="18"/>
        <v>0.17021885879648291</v>
      </c>
      <c r="E178" s="81">
        <f t="shared" si="23"/>
        <v>-0.11506915484375736</v>
      </c>
      <c r="F178" s="82">
        <f t="shared" si="24"/>
        <v>3.1051515629426396E-3</v>
      </c>
      <c r="G178" s="209"/>
      <c r="H178" s="209"/>
      <c r="J178" s="210"/>
      <c r="K178" s="210"/>
      <c r="L178" s="211"/>
      <c r="M178" s="212"/>
      <c r="N178" s="212"/>
    </row>
    <row r="179" spans="2:14" ht="14.25" customHeight="1" x14ac:dyDescent="0.2">
      <c r="B179" s="253"/>
      <c r="C179" s="50">
        <v>2020</v>
      </c>
      <c r="D179" s="79">
        <f t="shared" si="18"/>
        <v>0.20861290848983977</v>
      </c>
      <c r="E179" s="79">
        <f t="shared" si="23"/>
        <v>8.4533163514724563E-2</v>
      </c>
      <c r="F179" s="80">
        <f t="shared" si="24"/>
        <v>0.22555696803996059</v>
      </c>
      <c r="G179" s="209"/>
      <c r="H179" s="209"/>
      <c r="J179" s="210"/>
      <c r="K179" s="210"/>
      <c r="L179" s="211"/>
      <c r="M179" s="212"/>
      <c r="N179" s="212"/>
    </row>
    <row r="180" spans="2:14" ht="14.25" customHeight="1" x14ac:dyDescent="0.2">
      <c r="B180" s="253"/>
      <c r="C180" s="55">
        <v>2021</v>
      </c>
      <c r="D180" s="81">
        <f t="shared" si="18"/>
        <v>0.22144975801710678</v>
      </c>
      <c r="E180" s="81">
        <f t="shared" si="23"/>
        <v>0.15126915376648528</v>
      </c>
      <c r="F180" s="82">
        <f t="shared" si="24"/>
        <v>6.153430111393237E-2</v>
      </c>
      <c r="G180" s="209"/>
      <c r="H180" s="209"/>
      <c r="J180" s="210"/>
      <c r="K180" s="210"/>
      <c r="L180" s="211"/>
      <c r="M180" s="212"/>
      <c r="N180" s="212"/>
    </row>
    <row r="181" spans="2:14" ht="14.25" customHeight="1" x14ac:dyDescent="0.2">
      <c r="B181" s="253"/>
      <c r="C181" s="50">
        <v>2022</v>
      </c>
      <c r="D181" s="79">
        <f t="shared" si="18"/>
        <v>0.17485440690855797</v>
      </c>
      <c r="E181" s="79">
        <f t="shared" si="23"/>
        <v>-9.0969947872304155E-2</v>
      </c>
      <c r="F181" s="80">
        <f t="shared" si="24"/>
        <v>-0.21041048554656525</v>
      </c>
      <c r="G181" s="209"/>
      <c r="H181" s="209"/>
      <c r="J181" s="210"/>
      <c r="K181" s="210"/>
      <c r="L181" s="211"/>
      <c r="M181" s="212"/>
      <c r="N181" s="212"/>
    </row>
    <row r="182" spans="2:14" ht="14.25" customHeight="1" x14ac:dyDescent="0.2">
      <c r="B182" s="253"/>
      <c r="C182" s="55">
        <v>2023</v>
      </c>
      <c r="D182" s="81">
        <f t="shared" si="18"/>
        <v>0.13371395230402813</v>
      </c>
      <c r="E182" s="81">
        <f t="shared" si="23"/>
        <v>-0.30485022835771686</v>
      </c>
      <c r="F182" s="82">
        <f>(D182-D181)/D181</f>
        <v>-0.2352840590746145</v>
      </c>
      <c r="G182" s="209"/>
      <c r="H182" s="209"/>
      <c r="J182" s="210"/>
      <c r="K182" s="210"/>
      <c r="L182" s="211"/>
      <c r="M182" s="212"/>
      <c r="N182" s="212"/>
    </row>
    <row r="183" spans="2:14" ht="14.25" customHeight="1" x14ac:dyDescent="0.2">
      <c r="B183" s="253"/>
      <c r="C183" s="50" t="s">
        <v>714</v>
      </c>
      <c r="D183" s="79">
        <f t="shared" si="18"/>
        <v>0.1918049368940393</v>
      </c>
      <c r="E183" s="79">
        <f t="shared" si="23"/>
        <v>-2.8478271392978253E-3</v>
      </c>
      <c r="F183" s="80">
        <f>(D183-D182)/D182</f>
        <v>0.43444220733172639</v>
      </c>
      <c r="G183" s="209"/>
      <c r="H183" s="209"/>
      <c r="J183" s="210"/>
      <c r="K183" s="210"/>
      <c r="L183" s="211"/>
      <c r="M183" s="212"/>
      <c r="N183" s="212"/>
    </row>
    <row r="184" spans="2:14" ht="30.75" thickBot="1" x14ac:dyDescent="0.25">
      <c r="B184" s="217"/>
      <c r="C184" s="197" t="s">
        <v>706</v>
      </c>
      <c r="D184" s="213">
        <f t="shared" ref="D184" si="25">F43</f>
        <v>0.19235272420234059</v>
      </c>
      <c r="E184" s="194"/>
      <c r="F184" s="197"/>
      <c r="G184" s="212"/>
      <c r="H184" s="212"/>
    </row>
    <row r="185" spans="2:14" ht="15" thickTop="1" x14ac:dyDescent="0.2">
      <c r="D185" s="216"/>
      <c r="I185" s="67"/>
      <c r="J185" s="67"/>
      <c r="K185" s="67"/>
      <c r="L185" s="67"/>
    </row>
    <row r="186" spans="2:14" x14ac:dyDescent="0.2">
      <c r="B186" s="66" t="s">
        <v>709</v>
      </c>
      <c r="C186" s="67"/>
      <c r="D186" s="67"/>
      <c r="E186" s="67"/>
      <c r="F186" s="67"/>
      <c r="G186" s="67"/>
      <c r="H186" s="67"/>
    </row>
    <row r="187" spans="2:14" x14ac:dyDescent="0.2">
      <c r="B187" s="66" t="s">
        <v>710</v>
      </c>
      <c r="C187" s="67"/>
      <c r="D187" s="67"/>
      <c r="E187" s="67"/>
      <c r="F187" s="67"/>
      <c r="G187" s="67"/>
      <c r="H187" s="67"/>
    </row>
    <row r="188" spans="2:14" ht="24" customHeight="1" x14ac:dyDescent="0.2">
      <c r="B188" s="255" t="s">
        <v>715</v>
      </c>
      <c r="C188" s="255"/>
      <c r="D188" s="255"/>
      <c r="E188" s="255"/>
      <c r="F188" s="255"/>
      <c r="G188" s="255"/>
      <c r="H188" s="205"/>
    </row>
    <row r="189" spans="2:14" ht="15" x14ac:dyDescent="0.2">
      <c r="B189" s="73" t="s">
        <v>610</v>
      </c>
    </row>
    <row r="191" spans="2:14" x14ac:dyDescent="0.2">
      <c r="B191" s="39" t="s">
        <v>123</v>
      </c>
    </row>
    <row r="192" spans="2:14" ht="15" x14ac:dyDescent="0.25">
      <c r="B192" s="44" t="s">
        <v>124</v>
      </c>
    </row>
    <row r="193" spans="2:14" x14ac:dyDescent="0.2">
      <c r="B193" s="41" t="s">
        <v>196</v>
      </c>
    </row>
    <row r="194" spans="2:14" x14ac:dyDescent="0.2">
      <c r="J194" s="64"/>
      <c r="K194" s="64"/>
      <c r="L194" s="64"/>
      <c r="M194" s="64"/>
      <c r="N194" s="64"/>
    </row>
    <row r="195" spans="2:14" ht="51.75" customHeight="1" thickBot="1" x14ac:dyDescent="0.3">
      <c r="B195" s="47"/>
      <c r="C195" s="197" t="s">
        <v>197</v>
      </c>
      <c r="D195" s="194" t="s">
        <v>703</v>
      </c>
      <c r="E195" s="194" t="s">
        <v>199</v>
      </c>
      <c r="F195" s="197" t="s">
        <v>200</v>
      </c>
      <c r="G195" s="64"/>
      <c r="H195" s="64"/>
      <c r="J195" s="214"/>
      <c r="K195" s="215"/>
      <c r="L195" s="209"/>
      <c r="M195" s="209"/>
      <c r="N195" s="209"/>
    </row>
    <row r="196" spans="2:14" ht="14.25" customHeight="1" thickTop="1" x14ac:dyDescent="0.2">
      <c r="B196" s="252" t="s">
        <v>705</v>
      </c>
      <c r="C196" s="50">
        <v>2014</v>
      </c>
      <c r="D196" s="79">
        <f t="shared" ref="D196:D230" si="26">G8</f>
        <v>0.10217042990507925</v>
      </c>
      <c r="E196" s="79"/>
      <c r="F196" s="80"/>
      <c r="G196" s="209"/>
      <c r="H196" s="209"/>
      <c r="J196" s="210"/>
      <c r="K196" s="210"/>
      <c r="L196" s="211"/>
      <c r="M196" s="212"/>
      <c r="N196" s="212"/>
    </row>
    <row r="197" spans="2:14" ht="15" customHeight="1" x14ac:dyDescent="0.2">
      <c r="B197" s="253"/>
      <c r="C197" s="55">
        <v>2015</v>
      </c>
      <c r="D197" s="81">
        <f t="shared" si="26"/>
        <v>0.1090846023048592</v>
      </c>
      <c r="E197" s="81">
        <f t="shared" ref="E197:E206" si="27">(D197-$D$207)/$D$207</f>
        <v>6.7672930477081353E-2</v>
      </c>
      <c r="F197" s="82">
        <f>(D197-D196)/D196</f>
        <v>6.7672930477081353E-2</v>
      </c>
      <c r="G197" s="209"/>
      <c r="H197" s="209"/>
      <c r="J197" s="210"/>
      <c r="K197" s="210"/>
      <c r="L197" s="211"/>
      <c r="M197" s="212"/>
      <c r="N197" s="212"/>
    </row>
    <row r="198" spans="2:14" ht="14.25" customHeight="1" x14ac:dyDescent="0.2">
      <c r="B198" s="253"/>
      <c r="C198" s="50">
        <v>2016</v>
      </c>
      <c r="D198" s="79">
        <f t="shared" si="26"/>
        <v>0.10063820391409445</v>
      </c>
      <c r="E198" s="79">
        <f t="shared" si="27"/>
        <v>-1.4996765623951181E-2</v>
      </c>
      <c r="F198" s="80">
        <f>(D198-D197)/D197</f>
        <v>-7.7429794969225474E-2</v>
      </c>
      <c r="G198" s="209"/>
      <c r="H198" s="209"/>
      <c r="J198" s="210"/>
      <c r="K198" s="210"/>
      <c r="L198" s="211"/>
      <c r="M198" s="212"/>
      <c r="N198" s="212"/>
    </row>
    <row r="199" spans="2:14" ht="14.25" customHeight="1" x14ac:dyDescent="0.2">
      <c r="B199" s="253"/>
      <c r="C199" s="55">
        <v>2017</v>
      </c>
      <c r="D199" s="81">
        <f t="shared" si="26"/>
        <v>0.10397751364505989</v>
      </c>
      <c r="E199" s="81">
        <f t="shared" si="27"/>
        <v>1.7686954451101872E-2</v>
      </c>
      <c r="F199" s="82">
        <f t="shared" ref="F199:F204" si="28">(D199-D198)/D198</f>
        <v>3.3181332745325032E-2</v>
      </c>
      <c r="G199" s="209"/>
      <c r="H199" s="209"/>
      <c r="J199" s="210"/>
      <c r="K199" s="210"/>
      <c r="L199" s="211"/>
      <c r="M199" s="212"/>
      <c r="N199" s="212"/>
    </row>
    <row r="200" spans="2:14" ht="14.25" customHeight="1" x14ac:dyDescent="0.2">
      <c r="B200" s="253"/>
      <c r="C200" s="50">
        <v>2018</v>
      </c>
      <c r="D200" s="79">
        <f t="shared" si="26"/>
        <v>0.1158750855132745</v>
      </c>
      <c r="E200" s="79">
        <f t="shared" si="27"/>
        <v>0.13413524461948001</v>
      </c>
      <c r="F200" s="80">
        <f t="shared" si="28"/>
        <v>0.11442446978323065</v>
      </c>
      <c r="G200" s="209"/>
      <c r="H200" s="209"/>
      <c r="J200" s="210"/>
      <c r="K200" s="210"/>
      <c r="L200" s="211"/>
      <c r="M200" s="212"/>
      <c r="N200" s="212"/>
    </row>
    <row r="201" spans="2:14" ht="14.25" customHeight="1" x14ac:dyDescent="0.2">
      <c r="B201" s="253"/>
      <c r="C201" s="55">
        <v>2019</v>
      </c>
      <c r="D201" s="81">
        <f t="shared" si="26"/>
        <v>0.12071355319263777</v>
      </c>
      <c r="E201" s="81">
        <f t="shared" si="27"/>
        <v>0.18149207461283931</v>
      </c>
      <c r="F201" s="82">
        <f t="shared" si="28"/>
        <v>4.1755893063043177E-2</v>
      </c>
      <c r="G201" s="209"/>
      <c r="H201" s="209"/>
      <c r="J201" s="210"/>
      <c r="K201" s="210"/>
      <c r="L201" s="211"/>
      <c r="M201" s="212"/>
      <c r="N201" s="212"/>
    </row>
    <row r="202" spans="2:14" ht="14.25" customHeight="1" x14ac:dyDescent="0.2">
      <c r="B202" s="253"/>
      <c r="C202" s="50">
        <v>2020</v>
      </c>
      <c r="D202" s="79">
        <f t="shared" si="26"/>
        <v>0.10398108542336101</v>
      </c>
      <c r="E202" s="79">
        <f t="shared" si="27"/>
        <v>1.7721913473046323E-2</v>
      </c>
      <c r="F202" s="80">
        <f t="shared" si="28"/>
        <v>-0.1386130001705331</v>
      </c>
      <c r="G202" s="209"/>
      <c r="H202" s="209"/>
      <c r="J202" s="210"/>
      <c r="K202" s="210"/>
      <c r="L202" s="211"/>
      <c r="M202" s="212"/>
      <c r="N202" s="212"/>
    </row>
    <row r="203" spans="2:14" ht="14.25" customHeight="1" x14ac:dyDescent="0.2">
      <c r="B203" s="253"/>
      <c r="C203" s="55">
        <v>2021</v>
      </c>
      <c r="D203" s="81">
        <f t="shared" si="26"/>
        <v>0.11049217326586733</v>
      </c>
      <c r="E203" s="81">
        <f t="shared" si="27"/>
        <v>8.144962655554383E-2</v>
      </c>
      <c r="F203" s="82">
        <f t="shared" si="28"/>
        <v>6.2618002264510822E-2</v>
      </c>
      <c r="G203" s="209"/>
      <c r="H203" s="209"/>
      <c r="J203" s="210"/>
      <c r="K203" s="210"/>
      <c r="L203" s="211"/>
      <c r="M203" s="212"/>
      <c r="N203" s="212"/>
    </row>
    <row r="204" spans="2:14" ht="14.25" customHeight="1" x14ac:dyDescent="0.2">
      <c r="B204" s="253"/>
      <c r="C204" s="50">
        <v>2022</v>
      </c>
      <c r="D204" s="79">
        <f t="shared" si="26"/>
        <v>0.14288469789833763</v>
      </c>
      <c r="E204" s="79">
        <f t="shared" si="27"/>
        <v>0.39849365448578117</v>
      </c>
      <c r="F204" s="80">
        <f t="shared" si="28"/>
        <v>0.29316578428163503</v>
      </c>
      <c r="G204" s="209"/>
      <c r="H204" s="209"/>
      <c r="J204" s="210"/>
      <c r="K204" s="210"/>
      <c r="L204" s="211"/>
      <c r="M204" s="212"/>
      <c r="N204" s="212"/>
    </row>
    <row r="205" spans="2:14" ht="14.25" customHeight="1" x14ac:dyDescent="0.2">
      <c r="B205" s="253"/>
      <c r="C205" s="55">
        <v>2023</v>
      </c>
      <c r="D205" s="81">
        <f t="shared" si="26"/>
        <v>0.16841813498492256</v>
      </c>
      <c r="E205" s="81">
        <f t="shared" si="27"/>
        <v>0.64840389867587211</v>
      </c>
      <c r="F205" s="82">
        <f>(D205-D204)/D204</f>
        <v>0.17869959108393782</v>
      </c>
      <c r="G205" s="209"/>
      <c r="H205" s="209"/>
      <c r="J205" s="210"/>
      <c r="K205" s="210"/>
      <c r="L205" s="211"/>
      <c r="M205" s="212"/>
      <c r="N205" s="212"/>
    </row>
    <row r="206" spans="2:14" ht="14.25" customHeight="1" x14ac:dyDescent="0.2">
      <c r="B206" s="253"/>
      <c r="C206" s="50" t="s">
        <v>714</v>
      </c>
      <c r="D206" s="79">
        <f t="shared" si="26"/>
        <v>0.18509720641537725</v>
      </c>
      <c r="E206" s="79">
        <f t="shared" si="27"/>
        <v>0.81165143953432073</v>
      </c>
      <c r="F206" s="80">
        <f>(D206-D205)/D205</f>
        <v>9.9033702231341447E-2</v>
      </c>
      <c r="G206" s="209"/>
      <c r="H206" s="209"/>
      <c r="J206" s="210"/>
      <c r="K206" s="210"/>
      <c r="L206" s="211"/>
      <c r="M206" s="212"/>
      <c r="N206" s="212"/>
    </row>
    <row r="207" spans="2:14" ht="30.75" thickBot="1" x14ac:dyDescent="0.25">
      <c r="B207" s="217"/>
      <c r="C207" s="197" t="s">
        <v>706</v>
      </c>
      <c r="D207" s="213">
        <f t="shared" si="26"/>
        <v>0.10217042990507925</v>
      </c>
      <c r="E207" s="194"/>
      <c r="F207" s="197"/>
      <c r="G207" s="212"/>
      <c r="H207" s="212"/>
      <c r="J207" s="214"/>
      <c r="K207" s="215"/>
      <c r="L207" s="209"/>
      <c r="M207" s="209"/>
      <c r="N207" s="209"/>
    </row>
    <row r="208" spans="2:14" ht="14.25" customHeight="1" thickTop="1" x14ac:dyDescent="0.2">
      <c r="B208" s="252" t="s">
        <v>711</v>
      </c>
      <c r="C208" s="50">
        <v>2014</v>
      </c>
      <c r="D208" s="79">
        <f t="shared" si="26"/>
        <v>0.21210789160198631</v>
      </c>
      <c r="E208" s="79"/>
      <c r="F208" s="80"/>
      <c r="G208" s="209"/>
      <c r="H208" s="209"/>
      <c r="J208" s="210"/>
      <c r="K208" s="210"/>
      <c r="L208" s="211"/>
      <c r="M208" s="212"/>
      <c r="N208" s="212"/>
    </row>
    <row r="209" spans="2:14" ht="15" customHeight="1" x14ac:dyDescent="0.2">
      <c r="B209" s="253"/>
      <c r="C209" s="55">
        <v>2015</v>
      </c>
      <c r="D209" s="81">
        <f t="shared" si="26"/>
        <v>0.23578598197695053</v>
      </c>
      <c r="E209" s="81">
        <f t="shared" ref="E209:E218" si="29">(D209-$D$219)/$D$219</f>
        <v>0.11163229333963393</v>
      </c>
      <c r="F209" s="82">
        <f>(D209-D208)/D208</f>
        <v>0.11163229333963393</v>
      </c>
      <c r="G209" s="209"/>
      <c r="H209" s="209"/>
      <c r="J209" s="210"/>
      <c r="K209" s="210"/>
      <c r="L209" s="211"/>
      <c r="M209" s="212"/>
      <c r="N209" s="212"/>
    </row>
    <row r="210" spans="2:14" ht="14.25" customHeight="1" x14ac:dyDescent="0.2">
      <c r="B210" s="253"/>
      <c r="C210" s="50">
        <v>2016</v>
      </c>
      <c r="D210" s="79">
        <f t="shared" si="26"/>
        <v>0.23481949822072021</v>
      </c>
      <c r="E210" s="79">
        <f t="shared" si="29"/>
        <v>0.10707572663704328</v>
      </c>
      <c r="F210" s="80">
        <f>(D210-D209)/D209</f>
        <v>-4.0989873449083928E-3</v>
      </c>
      <c r="G210" s="209"/>
      <c r="H210" s="209"/>
      <c r="J210" s="210"/>
      <c r="K210" s="210"/>
      <c r="L210" s="211"/>
      <c r="M210" s="212"/>
      <c r="N210" s="212"/>
    </row>
    <row r="211" spans="2:14" ht="14.25" customHeight="1" x14ac:dyDescent="0.2">
      <c r="B211" s="253"/>
      <c r="C211" s="55">
        <v>2017</v>
      </c>
      <c r="D211" s="81">
        <f t="shared" si="26"/>
        <v>0.23201244552760839</v>
      </c>
      <c r="E211" s="81">
        <f t="shared" si="29"/>
        <v>9.3841647169697631E-2</v>
      </c>
      <c r="F211" s="82">
        <f t="shared" ref="F211:F216" si="30">(D211-D210)/D210</f>
        <v>-1.1954086923707306E-2</v>
      </c>
      <c r="G211" s="209"/>
      <c r="H211" s="209"/>
      <c r="J211" s="210"/>
      <c r="K211" s="210"/>
      <c r="L211" s="211"/>
      <c r="M211" s="212"/>
      <c r="N211" s="212"/>
    </row>
    <row r="212" spans="2:14" ht="14.25" customHeight="1" x14ac:dyDescent="0.2">
      <c r="B212" s="253"/>
      <c r="C212" s="50">
        <v>2018</v>
      </c>
      <c r="D212" s="79">
        <f t="shared" si="26"/>
        <v>0.2356817010457605</v>
      </c>
      <c r="E212" s="79">
        <f t="shared" si="29"/>
        <v>0.11114065236200493</v>
      </c>
      <c r="F212" s="80">
        <f t="shared" si="30"/>
        <v>1.5814908160672315E-2</v>
      </c>
      <c r="G212" s="209"/>
      <c r="H212" s="209"/>
      <c r="J212" s="210"/>
      <c r="K212" s="210"/>
      <c r="L212" s="211"/>
      <c r="M212" s="212"/>
      <c r="N212" s="212"/>
    </row>
    <row r="213" spans="2:14" ht="14.25" customHeight="1" x14ac:dyDescent="0.2">
      <c r="B213" s="253"/>
      <c r="C213" s="55">
        <v>2019</v>
      </c>
      <c r="D213" s="81">
        <f t="shared" si="26"/>
        <v>0.23549342977103768</v>
      </c>
      <c r="E213" s="81">
        <f t="shared" si="29"/>
        <v>0.11025303204151207</v>
      </c>
      <c r="F213" s="82">
        <f t="shared" si="30"/>
        <v>-7.9883704966242797E-4</v>
      </c>
      <c r="G213" s="209"/>
      <c r="H213" s="209"/>
      <c r="J213" s="210"/>
      <c r="K213" s="210"/>
      <c r="L213" s="211"/>
      <c r="M213" s="212"/>
      <c r="N213" s="212"/>
    </row>
    <row r="214" spans="2:14" ht="14.25" customHeight="1" x14ac:dyDescent="0.2">
      <c r="B214" s="253"/>
      <c r="C214" s="50">
        <v>2020</v>
      </c>
      <c r="D214" s="79">
        <f t="shared" si="26"/>
        <v>0.22883512345616641</v>
      </c>
      <c r="E214" s="79">
        <f t="shared" si="29"/>
        <v>7.8861902439576428E-2</v>
      </c>
      <c r="F214" s="80">
        <f t="shared" si="30"/>
        <v>-2.8273851722083784E-2</v>
      </c>
      <c r="G214" s="209"/>
      <c r="H214" s="209"/>
      <c r="J214" s="210"/>
      <c r="K214" s="210"/>
      <c r="L214" s="211"/>
      <c r="M214" s="212"/>
      <c r="N214" s="212"/>
    </row>
    <row r="215" spans="2:14" ht="14.25" customHeight="1" x14ac:dyDescent="0.2">
      <c r="B215" s="253"/>
      <c r="C215" s="55">
        <v>2021</v>
      </c>
      <c r="D215" s="81">
        <f t="shared" si="26"/>
        <v>0.25497514216394257</v>
      </c>
      <c r="E215" s="81">
        <f t="shared" si="29"/>
        <v>0.20210115822750849</v>
      </c>
      <c r="F215" s="82">
        <f t="shared" si="30"/>
        <v>0.11423079775943269</v>
      </c>
      <c r="G215" s="209"/>
      <c r="H215" s="209"/>
      <c r="J215" s="210"/>
      <c r="K215" s="210"/>
      <c r="L215" s="211"/>
      <c r="M215" s="212"/>
      <c r="N215" s="212"/>
    </row>
    <row r="216" spans="2:14" ht="14.25" customHeight="1" x14ac:dyDescent="0.2">
      <c r="B216" s="253"/>
      <c r="C216" s="50">
        <v>2022</v>
      </c>
      <c r="D216" s="79">
        <f t="shared" si="26"/>
        <v>0.26695855224751897</v>
      </c>
      <c r="E216" s="79">
        <f t="shared" si="29"/>
        <v>0.25859792500534662</v>
      </c>
      <c r="F216" s="80">
        <f t="shared" si="30"/>
        <v>4.6998346512819533E-2</v>
      </c>
      <c r="G216" s="209"/>
      <c r="H216" s="209"/>
      <c r="J216" s="210"/>
      <c r="K216" s="210"/>
      <c r="L216" s="211"/>
      <c r="M216" s="212"/>
      <c r="N216" s="212"/>
    </row>
    <row r="217" spans="2:14" ht="14.25" customHeight="1" x14ac:dyDescent="0.2">
      <c r="B217" s="253"/>
      <c r="C217" s="55">
        <v>2023</v>
      </c>
      <c r="D217" s="81">
        <f t="shared" si="26"/>
        <v>0.31782727847656522</v>
      </c>
      <c r="E217" s="81">
        <f t="shared" si="29"/>
        <v>0.49842269458299066</v>
      </c>
      <c r="F217" s="82">
        <f>(D217-D216)/D216</f>
        <v>0.19054915379478732</v>
      </c>
      <c r="G217" s="209"/>
      <c r="H217" s="209"/>
      <c r="J217" s="210"/>
      <c r="K217" s="210"/>
      <c r="L217" s="211"/>
      <c r="M217" s="212"/>
      <c r="N217" s="212"/>
    </row>
    <row r="218" spans="2:14" ht="14.25" customHeight="1" x14ac:dyDescent="0.2">
      <c r="B218" s="253"/>
      <c r="C218" s="50" t="s">
        <v>714</v>
      </c>
      <c r="D218" s="79">
        <f t="shared" si="26"/>
        <v>0.3317167458014097</v>
      </c>
      <c r="E218" s="79">
        <f t="shared" si="29"/>
        <v>0.56390572409189554</v>
      </c>
      <c r="F218" s="80">
        <f>(D218-D217)/D217</f>
        <v>4.3701306544298414E-2</v>
      </c>
      <c r="G218" s="209"/>
      <c r="H218" s="209"/>
      <c r="J218" s="210"/>
      <c r="K218" s="210"/>
      <c r="L218" s="211"/>
      <c r="M218" s="212"/>
      <c r="N218" s="212"/>
    </row>
    <row r="219" spans="2:14" ht="30.75" thickBot="1" x14ac:dyDescent="0.25">
      <c r="B219" s="217"/>
      <c r="C219" s="197" t="s">
        <v>706</v>
      </c>
      <c r="D219" s="213">
        <f t="shared" si="26"/>
        <v>0.21210789160198631</v>
      </c>
      <c r="E219" s="194"/>
      <c r="F219" s="197"/>
      <c r="G219" s="212"/>
      <c r="H219" s="212"/>
      <c r="J219" s="214"/>
      <c r="K219" s="215"/>
      <c r="L219" s="209"/>
      <c r="M219" s="209"/>
      <c r="N219" s="209"/>
    </row>
    <row r="220" spans="2:14" ht="14.25" customHeight="1" thickTop="1" x14ac:dyDescent="0.2">
      <c r="B220" s="252" t="s">
        <v>708</v>
      </c>
      <c r="C220" s="50">
        <v>2014</v>
      </c>
      <c r="D220" s="79">
        <f t="shared" si="26"/>
        <v>9.3939946894903467E-2</v>
      </c>
      <c r="E220" s="79"/>
      <c r="F220" s="80"/>
      <c r="G220" s="209"/>
      <c r="H220" s="209"/>
      <c r="J220" s="210"/>
      <c r="K220" s="210"/>
      <c r="L220" s="211"/>
      <c r="M220" s="212"/>
      <c r="N220" s="212"/>
    </row>
    <row r="221" spans="2:14" ht="15" customHeight="1" x14ac:dyDescent="0.2">
      <c r="B221" s="253"/>
      <c r="C221" s="55">
        <v>2015</v>
      </c>
      <c r="D221" s="81">
        <f t="shared" si="26"/>
        <v>0.10002530507329591</v>
      </c>
      <c r="E221" s="81">
        <f t="shared" ref="E221:E228" si="31">(D221-$D$231)/$D$231</f>
        <v>6.4779238008304513E-2</v>
      </c>
      <c r="F221" s="82">
        <f>(D221-D220)/D220</f>
        <v>6.4779238008304513E-2</v>
      </c>
      <c r="G221" s="209"/>
      <c r="H221" s="209"/>
      <c r="J221" s="210"/>
      <c r="K221" s="210"/>
      <c r="L221" s="211"/>
      <c r="M221" s="212"/>
      <c r="N221" s="212"/>
    </row>
    <row r="222" spans="2:14" ht="14.25" customHeight="1" x14ac:dyDescent="0.2">
      <c r="B222" s="253"/>
      <c r="C222" s="50">
        <v>2016</v>
      </c>
      <c r="D222" s="79">
        <f t="shared" si="26"/>
        <v>9.2342793137577983E-2</v>
      </c>
      <c r="E222" s="79">
        <f t="shared" si="31"/>
        <v>-1.7001859274120311E-2</v>
      </c>
      <c r="F222" s="80">
        <f>(D222-D221)/D221</f>
        <v>-7.6805683622643103E-2</v>
      </c>
      <c r="G222" s="209"/>
      <c r="H222" s="209"/>
      <c r="J222" s="210"/>
      <c r="K222" s="210"/>
      <c r="L222" s="211"/>
      <c r="M222" s="212"/>
      <c r="N222" s="212"/>
    </row>
    <row r="223" spans="2:14" ht="14.25" customHeight="1" x14ac:dyDescent="0.2">
      <c r="B223" s="253"/>
      <c r="C223" s="55">
        <v>2017</v>
      </c>
      <c r="D223" s="81">
        <f t="shared" si="26"/>
        <v>9.4476636501695799E-2</v>
      </c>
      <c r="E223" s="81">
        <f t="shared" si="31"/>
        <v>5.7131137980390816E-3</v>
      </c>
      <c r="F223" s="82">
        <f t="shared" ref="F223:F228" si="32">(D223-D222)/D222</f>
        <v>2.3107849477096543E-2</v>
      </c>
      <c r="G223" s="209"/>
      <c r="H223" s="209"/>
      <c r="J223" s="210"/>
      <c r="K223" s="210"/>
      <c r="L223" s="211"/>
      <c r="M223" s="212"/>
      <c r="N223" s="212"/>
    </row>
    <row r="224" spans="2:14" ht="14.25" customHeight="1" x14ac:dyDescent="0.2">
      <c r="B224" s="253"/>
      <c r="C224" s="50">
        <v>2018</v>
      </c>
      <c r="D224" s="79">
        <f t="shared" si="26"/>
        <v>0.1066346274084605</v>
      </c>
      <c r="E224" s="79">
        <f t="shared" si="31"/>
        <v>0.13513612614407125</v>
      </c>
      <c r="F224" s="80">
        <f t="shared" si="32"/>
        <v>0.12868780427578483</v>
      </c>
      <c r="G224" s="209"/>
      <c r="H224" s="209"/>
      <c r="J224" s="210"/>
      <c r="K224" s="210"/>
      <c r="L224" s="211"/>
      <c r="M224" s="212"/>
      <c r="N224" s="212"/>
    </row>
    <row r="225" spans="2:14" ht="14.25" customHeight="1" x14ac:dyDescent="0.2">
      <c r="B225" s="253"/>
      <c r="C225" s="55">
        <v>2019</v>
      </c>
      <c r="D225" s="81">
        <f t="shared" si="26"/>
        <v>0.11146930778439426</v>
      </c>
      <c r="E225" s="81">
        <f t="shared" si="31"/>
        <v>0.18660177559076113</v>
      </c>
      <c r="F225" s="82">
        <f t="shared" si="32"/>
        <v>4.5338746835159628E-2</v>
      </c>
      <c r="G225" s="209"/>
      <c r="H225" s="209"/>
      <c r="J225" s="210"/>
      <c r="K225" s="210"/>
      <c r="L225" s="211"/>
      <c r="M225" s="212"/>
      <c r="N225" s="212"/>
    </row>
    <row r="226" spans="2:14" ht="14.25" customHeight="1" x14ac:dyDescent="0.2">
      <c r="B226" s="253"/>
      <c r="C226" s="50">
        <v>2020</v>
      </c>
      <c r="D226" s="79">
        <f t="shared" si="26"/>
        <v>9.5735407199735389E-2</v>
      </c>
      <c r="E226" s="79">
        <f t="shared" si="31"/>
        <v>1.911285203131546E-2</v>
      </c>
      <c r="F226" s="80">
        <f t="shared" si="32"/>
        <v>-0.14115006989270659</v>
      </c>
      <c r="G226" s="209"/>
      <c r="H226" s="209"/>
      <c r="J226" s="210"/>
      <c r="K226" s="210"/>
      <c r="L226" s="211"/>
      <c r="M226" s="212"/>
      <c r="N226" s="212"/>
    </row>
    <row r="227" spans="2:14" ht="14.25" customHeight="1" x14ac:dyDescent="0.2">
      <c r="B227" s="253"/>
      <c r="C227" s="55">
        <v>2021</v>
      </c>
      <c r="D227" s="81">
        <f t="shared" si="26"/>
        <v>0.10113346570513404</v>
      </c>
      <c r="E227" s="81">
        <f t="shared" si="31"/>
        <v>7.6575717232184676E-2</v>
      </c>
      <c r="F227" s="82">
        <f t="shared" si="32"/>
        <v>5.6385183531277347E-2</v>
      </c>
      <c r="G227" s="209"/>
      <c r="H227" s="209"/>
      <c r="J227" s="210"/>
      <c r="K227" s="210"/>
      <c r="L227" s="211"/>
      <c r="M227" s="212"/>
      <c r="N227" s="212"/>
    </row>
    <row r="228" spans="2:14" ht="14.25" customHeight="1" x14ac:dyDescent="0.2">
      <c r="B228" s="253"/>
      <c r="C228" s="50">
        <v>2022</v>
      </c>
      <c r="D228" s="79">
        <f t="shared" si="26"/>
        <v>0.13391330775367549</v>
      </c>
      <c r="E228" s="79">
        <f t="shared" si="31"/>
        <v>0.42552036891709916</v>
      </c>
      <c r="F228" s="80">
        <f t="shared" si="32"/>
        <v>0.32412457953448126</v>
      </c>
      <c r="G228" s="209"/>
      <c r="H228" s="209"/>
      <c r="J228" s="210"/>
      <c r="K228" s="210"/>
      <c r="L228" s="211"/>
      <c r="M228" s="212"/>
      <c r="N228" s="212"/>
    </row>
    <row r="229" spans="2:14" ht="14.25" customHeight="1" x14ac:dyDescent="0.2">
      <c r="B229" s="253"/>
      <c r="C229" s="55">
        <v>2023</v>
      </c>
      <c r="D229" s="81">
        <f t="shared" si="26"/>
        <v>0.15751556234681216</v>
      </c>
      <c r="E229" s="81">
        <f>(D229-$D$231)/$D$231</f>
        <v>0.67676869695311559</v>
      </c>
      <c r="F229" s="82">
        <f>(D229-D228)/D228</f>
        <v>0.17625025465393943</v>
      </c>
      <c r="G229" s="209"/>
      <c r="H229" s="209"/>
      <c r="J229" s="210"/>
      <c r="K229" s="210"/>
      <c r="L229" s="211"/>
      <c r="M229" s="212"/>
      <c r="N229" s="212"/>
    </row>
    <row r="230" spans="2:14" ht="14.25" customHeight="1" x14ac:dyDescent="0.2">
      <c r="B230" s="253"/>
      <c r="C230" s="50" t="s">
        <v>714</v>
      </c>
      <c r="D230" s="79">
        <f t="shared" si="26"/>
        <v>0.17437707913441902</v>
      </c>
      <c r="E230" s="79">
        <f>(D230-$D$231)/$D$231</f>
        <v>0.85626120620981017</v>
      </c>
      <c r="F230" s="80">
        <f>(D230-D229)/D229</f>
        <v>0.10704667231852161</v>
      </c>
      <c r="G230" s="209"/>
      <c r="H230" s="209"/>
      <c r="J230" s="210"/>
      <c r="K230" s="210"/>
      <c r="L230" s="211"/>
      <c r="M230" s="212"/>
      <c r="N230" s="212"/>
    </row>
    <row r="231" spans="2:14" ht="30.75" thickBot="1" x14ac:dyDescent="0.25">
      <c r="B231" s="217"/>
      <c r="C231" s="197" t="s">
        <v>706</v>
      </c>
      <c r="D231" s="213">
        <f t="shared" ref="D231" si="33">G43</f>
        <v>9.3939946894903467E-2</v>
      </c>
      <c r="E231" s="194"/>
      <c r="F231" s="197"/>
      <c r="G231" s="212"/>
      <c r="H231" s="212"/>
    </row>
    <row r="232" spans="2:14" ht="15" thickTop="1" x14ac:dyDescent="0.2">
      <c r="D232" s="216"/>
      <c r="I232" s="67"/>
      <c r="J232" s="67"/>
      <c r="K232" s="67"/>
      <c r="L232" s="67"/>
    </row>
    <row r="233" spans="2:14" x14ac:dyDescent="0.2">
      <c r="B233" s="66" t="s">
        <v>709</v>
      </c>
      <c r="C233" s="67"/>
      <c r="D233" s="67"/>
      <c r="E233" s="67"/>
      <c r="F233" s="67"/>
      <c r="G233" s="67"/>
      <c r="H233" s="67"/>
    </row>
    <row r="234" spans="2:14" x14ac:dyDescent="0.2">
      <c r="B234" s="66" t="s">
        <v>710</v>
      </c>
      <c r="C234" s="67"/>
      <c r="D234" s="67"/>
      <c r="E234" s="67"/>
      <c r="F234" s="67"/>
      <c r="G234" s="67"/>
      <c r="H234" s="67"/>
    </row>
    <row r="235" spans="2:14" ht="26.25" customHeight="1" x14ac:dyDescent="0.2">
      <c r="B235" s="255" t="s">
        <v>715</v>
      </c>
      <c r="C235" s="255"/>
      <c r="D235" s="255"/>
      <c r="E235" s="255"/>
      <c r="F235" s="255"/>
      <c r="G235" s="255"/>
      <c r="H235" s="205"/>
    </row>
    <row r="236" spans="2:14" ht="15" x14ac:dyDescent="0.2">
      <c r="B236" s="73" t="s">
        <v>610</v>
      </c>
    </row>
  </sheetData>
  <mergeCells count="22">
    <mergeCell ref="B126:B136"/>
    <mergeCell ref="B94:G94"/>
    <mergeCell ref="B114:B124"/>
    <mergeCell ref="B235:G235"/>
    <mergeCell ref="B220:B230"/>
    <mergeCell ref="B208:B218"/>
    <mergeCell ref="B196:B206"/>
    <mergeCell ref="B141:G141"/>
    <mergeCell ref="B188:G188"/>
    <mergeCell ref="B173:B183"/>
    <mergeCell ref="B161:B171"/>
    <mergeCell ref="B149:B159"/>
    <mergeCell ref="B102:B112"/>
    <mergeCell ref="B79:B89"/>
    <mergeCell ref="B67:B77"/>
    <mergeCell ref="K4:T4"/>
    <mergeCell ref="K31:T31"/>
    <mergeCell ref="B47:G47"/>
    <mergeCell ref="B55:B65"/>
    <mergeCell ref="B32:B42"/>
    <mergeCell ref="B20:B30"/>
    <mergeCell ref="B8:B18"/>
  </mergeCells>
  <hyperlinks>
    <hyperlink ref="B48" location="Contents!A1" tooltip="Contents Page" display="Return to Contents Page" xr:uid="{6000514B-F6FD-4CE9-8DCA-E8E338AC06C5}"/>
    <hyperlink ref="B95" location="Contents!A1" tooltip="Contents Page" display="Return to Contents Page" xr:uid="{B83C1BBA-4A45-44B7-BC54-4DE54AAEEE26}"/>
    <hyperlink ref="B142" location="Contents!A1" tooltip="Contents Page" display="Return to Contents Page" xr:uid="{438E8F1F-FDB5-4C01-A82A-AAC10FA39072}"/>
    <hyperlink ref="B189" location="Contents!A1" tooltip="Contents Page" display="Return to Contents Page" xr:uid="{CF57097A-8E04-4ADC-877C-65CD8C732781}"/>
    <hyperlink ref="B236" location="Contents!A1" tooltip="Contents Page" display="Return to Contents Page" xr:uid="{5B0C414B-B266-4A7E-8FAD-AECF9AD6FA87}"/>
  </hyperlink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Q58"/>
  <sheetViews>
    <sheetView showGridLines="0" workbookViewId="0"/>
  </sheetViews>
  <sheetFormatPr defaultColWidth="11" defaultRowHeight="14.25" x14ac:dyDescent="0.2"/>
  <cols>
    <col min="2" max="2" width="31.25" customWidth="1"/>
    <col min="3" max="3" width="12.75" customWidth="1"/>
    <col min="5" max="5" width="12.75" customWidth="1"/>
    <col min="7" max="7" width="12.75" customWidth="1"/>
    <col min="9" max="9" width="12.75" customWidth="1"/>
    <col min="11" max="11" width="12.75" customWidth="1"/>
    <col min="13" max="13" width="12.75" customWidth="1"/>
  </cols>
  <sheetData>
    <row r="1" spans="2:17" ht="15" x14ac:dyDescent="0.25">
      <c r="B1" s="40" t="s">
        <v>622</v>
      </c>
    </row>
    <row r="2" spans="2:17" x14ac:dyDescent="0.2">
      <c r="B2" s="39"/>
    </row>
    <row r="3" spans="2:17" x14ac:dyDescent="0.2">
      <c r="B3" s="39" t="s">
        <v>125</v>
      </c>
    </row>
    <row r="4" spans="2:17" ht="15" x14ac:dyDescent="0.25">
      <c r="B4" s="44" t="s">
        <v>126</v>
      </c>
    </row>
    <row r="5" spans="2:17" x14ac:dyDescent="0.2">
      <c r="B5" s="41" t="s">
        <v>623</v>
      </c>
    </row>
    <row r="7" spans="2:17" ht="15" x14ac:dyDescent="0.25">
      <c r="B7" s="88"/>
      <c r="C7" s="256" t="s">
        <v>624</v>
      </c>
      <c r="D7" s="257"/>
      <c r="E7" s="257"/>
      <c r="F7" s="257"/>
      <c r="G7" s="257"/>
      <c r="H7" s="258"/>
      <c r="J7" s="259" t="s">
        <v>625</v>
      </c>
      <c r="K7" s="259"/>
      <c r="L7" s="259"/>
      <c r="M7" s="259"/>
      <c r="N7" s="259"/>
      <c r="O7" s="259"/>
      <c r="P7" s="259"/>
      <c r="Q7" s="259"/>
    </row>
    <row r="8" spans="2:17" ht="15" x14ac:dyDescent="0.25">
      <c r="B8" s="89"/>
      <c r="C8" s="90" t="s">
        <v>626</v>
      </c>
      <c r="D8" s="90" t="s">
        <v>627</v>
      </c>
      <c r="E8" s="90" t="s">
        <v>595</v>
      </c>
      <c r="F8" s="90" t="s">
        <v>578</v>
      </c>
      <c r="G8" s="90" t="s">
        <v>579</v>
      </c>
      <c r="H8" s="90" t="s">
        <v>580</v>
      </c>
    </row>
    <row r="9" spans="2:17" x14ac:dyDescent="0.2">
      <c r="B9" s="91" t="s">
        <v>628</v>
      </c>
      <c r="C9" s="92">
        <v>0.37361008154188285</v>
      </c>
      <c r="D9" s="92">
        <v>0.36870229007633587</v>
      </c>
      <c r="E9" s="92">
        <v>0.35889798957557706</v>
      </c>
      <c r="F9" s="92">
        <v>0.35201535508637238</v>
      </c>
      <c r="G9" s="92">
        <v>0.34477498093058734</v>
      </c>
      <c r="H9" s="92">
        <v>0.36571642910727681</v>
      </c>
    </row>
    <row r="10" spans="2:17" ht="13.9" customHeight="1" x14ac:dyDescent="0.2">
      <c r="B10" s="93" t="s">
        <v>629</v>
      </c>
      <c r="C10" s="94">
        <v>0.26797627872498148</v>
      </c>
      <c r="D10" s="94">
        <v>0.27671755725190839</v>
      </c>
      <c r="E10" s="94">
        <v>0.28145941921072226</v>
      </c>
      <c r="F10" s="94">
        <v>0.28675623800383876</v>
      </c>
      <c r="G10" s="94">
        <v>0.27536231884057971</v>
      </c>
      <c r="H10" s="94">
        <v>0.27569392348087024</v>
      </c>
    </row>
    <row r="11" spans="2:17" ht="13.9" customHeight="1" x14ac:dyDescent="0.2">
      <c r="B11" s="91" t="s">
        <v>630</v>
      </c>
      <c r="C11" s="92">
        <v>0.27501853224610823</v>
      </c>
      <c r="D11" s="92">
        <v>0.27251908396946567</v>
      </c>
      <c r="E11" s="92">
        <v>0.25949367088607594</v>
      </c>
      <c r="F11" s="92"/>
      <c r="G11" s="92">
        <v>0.25286041189931352</v>
      </c>
      <c r="H11" s="92">
        <v>0.2693173293323331</v>
      </c>
    </row>
    <row r="12" spans="2:17" ht="28.5" x14ac:dyDescent="0.2">
      <c r="B12" s="93" t="s">
        <v>631</v>
      </c>
      <c r="C12" s="94">
        <v>0.28836174944403259</v>
      </c>
      <c r="D12" s="94">
        <v>0.28778625954198472</v>
      </c>
      <c r="E12" s="94">
        <v>0.28257632166790769</v>
      </c>
      <c r="F12" s="94">
        <v>0.2687140115163148</v>
      </c>
      <c r="G12" s="94">
        <v>0.25476735316552251</v>
      </c>
      <c r="H12" s="94">
        <v>0.25656414103525882</v>
      </c>
    </row>
    <row r="13" spans="2:17" x14ac:dyDescent="0.2">
      <c r="B13" s="91" t="s">
        <v>632</v>
      </c>
      <c r="C13" s="92">
        <v>0.2268346923647146</v>
      </c>
      <c r="D13" s="92">
        <v>0.22366412213740458</v>
      </c>
      <c r="E13" s="92">
        <v>0.21518987341772153</v>
      </c>
      <c r="F13" s="92">
        <v>0.20729366602687141</v>
      </c>
      <c r="G13" s="92">
        <v>0.21929824561403508</v>
      </c>
      <c r="H13" s="92">
        <v>0.22843210802700675</v>
      </c>
    </row>
    <row r="14" spans="2:17" x14ac:dyDescent="0.2">
      <c r="B14" s="93" t="s">
        <v>633</v>
      </c>
      <c r="C14" s="94">
        <v>0.1994069681245367</v>
      </c>
      <c r="D14" s="94">
        <v>0.20190839694656487</v>
      </c>
      <c r="E14" s="94">
        <v>0.20848845867460908</v>
      </c>
      <c r="F14" s="94">
        <v>0.2107485604606526</v>
      </c>
      <c r="G14" s="94">
        <v>0.21929824561403508</v>
      </c>
      <c r="H14" s="94">
        <v>0.22055513878469618</v>
      </c>
    </row>
    <row r="15" spans="2:17" x14ac:dyDescent="0.2">
      <c r="B15" s="91" t="s">
        <v>634</v>
      </c>
      <c r="C15" s="92">
        <v>0.21015567086730913</v>
      </c>
      <c r="D15" s="92">
        <v>0.20267175572519083</v>
      </c>
      <c r="E15" s="92">
        <v>0.20327624720774387</v>
      </c>
      <c r="F15" s="92">
        <v>0.2</v>
      </c>
      <c r="G15" s="92">
        <v>0.19145690312738367</v>
      </c>
      <c r="H15" s="92">
        <v>0.1984246061515379</v>
      </c>
    </row>
    <row r="16" spans="2:17" ht="13.9" customHeight="1" x14ac:dyDescent="0.2">
      <c r="B16" s="93" t="s">
        <v>635</v>
      </c>
      <c r="C16" s="94">
        <v>0.22312824314306895</v>
      </c>
      <c r="D16" s="94">
        <v>0.21832061068702291</v>
      </c>
      <c r="E16" s="94">
        <v>0.22375279225614297</v>
      </c>
      <c r="F16" s="94">
        <v>0.20499040307101726</v>
      </c>
      <c r="G16" s="94">
        <v>0.18993135011441648</v>
      </c>
      <c r="H16" s="94">
        <v>0.18079519879969994</v>
      </c>
    </row>
    <row r="17" spans="2:8" x14ac:dyDescent="0.2">
      <c r="B17" s="91" t="s">
        <v>636</v>
      </c>
      <c r="C17" s="92">
        <v>0.13306152705707933</v>
      </c>
      <c r="D17" s="92">
        <v>0.13549618320610687</v>
      </c>
      <c r="E17" s="92">
        <v>0.14631422189128815</v>
      </c>
      <c r="F17" s="92">
        <v>0.15239923224568139</v>
      </c>
      <c r="G17" s="92">
        <v>0.15331807780320367</v>
      </c>
      <c r="H17" s="92">
        <v>0.16204051012753187</v>
      </c>
    </row>
    <row r="18" spans="2:8" x14ac:dyDescent="0.2">
      <c r="B18" s="93" t="s">
        <v>637</v>
      </c>
      <c r="C18" s="94">
        <v>0.11267605633802817</v>
      </c>
      <c r="D18" s="94">
        <v>0.11564885496183207</v>
      </c>
      <c r="E18" s="94">
        <v>0.12285927029039465</v>
      </c>
      <c r="F18" s="94">
        <v>0.12168905950095969</v>
      </c>
      <c r="G18" s="94">
        <v>0.12738367658276126</v>
      </c>
      <c r="H18" s="94">
        <v>0.12790697674418605</v>
      </c>
    </row>
    <row r="19" spans="2:8" x14ac:dyDescent="0.2">
      <c r="B19" s="91" t="s">
        <v>638</v>
      </c>
      <c r="C19" s="92">
        <v>0.15011119347664936</v>
      </c>
      <c r="D19" s="92">
        <v>0.1484732824427481</v>
      </c>
      <c r="E19" s="92">
        <v>0.14780342516753536</v>
      </c>
      <c r="F19" s="92">
        <v>0.14126679462571978</v>
      </c>
      <c r="G19" s="92">
        <v>0.12967200610221205</v>
      </c>
      <c r="H19" s="92">
        <v>0.12528132033008252</v>
      </c>
    </row>
    <row r="20" spans="2:8" ht="28.5" x14ac:dyDescent="0.2">
      <c r="B20" s="93" t="s">
        <v>639</v>
      </c>
      <c r="C20" s="94">
        <v>0.11452928094885099</v>
      </c>
      <c r="D20" s="94">
        <v>0.12061068702290076</v>
      </c>
      <c r="E20" s="94">
        <v>0.12993298585256888</v>
      </c>
      <c r="F20" s="94">
        <v>0.1289827255278311</v>
      </c>
      <c r="G20" s="94">
        <v>0.12166285278413425</v>
      </c>
      <c r="H20" s="94">
        <v>0.11477869467366841</v>
      </c>
    </row>
    <row r="21" spans="2:8" x14ac:dyDescent="0.2">
      <c r="B21" s="91" t="s">
        <v>640</v>
      </c>
      <c r="C21" s="92">
        <v>0.10600444773906598</v>
      </c>
      <c r="D21" s="92">
        <v>0.10877862595419847</v>
      </c>
      <c r="E21" s="92">
        <v>0.11355174981384959</v>
      </c>
      <c r="F21" s="92">
        <v>0.1201535508637236</v>
      </c>
      <c r="G21" s="92">
        <v>0.11098398169336385</v>
      </c>
      <c r="H21" s="92">
        <v>0.109152288072018</v>
      </c>
    </row>
    <row r="22" spans="2:8" ht="28.5" x14ac:dyDescent="0.2">
      <c r="B22" s="93" t="s">
        <v>641</v>
      </c>
      <c r="C22" s="94">
        <v>6.8198665678280201E-2</v>
      </c>
      <c r="D22" s="94">
        <v>6.6030534351145032E-2</v>
      </c>
      <c r="E22" s="94">
        <v>7.2970960536113183E-2</v>
      </c>
      <c r="F22" s="94">
        <v>7.9078694817658349E-2</v>
      </c>
      <c r="G22" s="94">
        <v>9.2677345537757444E-2</v>
      </c>
      <c r="H22" s="94">
        <v>9.7899474868717182E-2</v>
      </c>
    </row>
    <row r="23" spans="2:8" x14ac:dyDescent="0.2">
      <c r="B23" s="91" t="s">
        <v>642</v>
      </c>
      <c r="C23" s="92">
        <v>1.9273535952557451E-2</v>
      </c>
      <c r="D23" s="92">
        <v>1.8320610687022901E-2</v>
      </c>
      <c r="E23" s="92">
        <v>1.4147431124348473E-2</v>
      </c>
      <c r="F23" s="92">
        <v>1.2284069097888676E-2</v>
      </c>
      <c r="G23" s="92">
        <v>9.9160945842868033E-3</v>
      </c>
      <c r="H23" s="92">
        <v>9.0022505626406596E-3</v>
      </c>
    </row>
    <row r="24" spans="2:8" x14ac:dyDescent="0.2">
      <c r="B24" s="93" t="s">
        <v>643</v>
      </c>
      <c r="C24" s="94">
        <v>0.13491475166790215</v>
      </c>
      <c r="D24" s="94">
        <v>0.1431297709923664</v>
      </c>
      <c r="E24" s="94">
        <v>0.16344005956813104</v>
      </c>
      <c r="F24" s="94">
        <v>0.17274472168905949</v>
      </c>
      <c r="G24" s="94">
        <v>0.19412662090007629</v>
      </c>
      <c r="H24" s="94">
        <v>0.17741935483870969</v>
      </c>
    </row>
    <row r="25" spans="2:8" x14ac:dyDescent="0.2">
      <c r="B25" s="91" t="s">
        <v>644</v>
      </c>
      <c r="C25" s="92">
        <v>4.1512231282431429E-2</v>
      </c>
      <c r="D25" s="92">
        <v>4.1984732824427481E-2</v>
      </c>
      <c r="E25" s="92">
        <v>4.169769173492182E-2</v>
      </c>
      <c r="F25" s="92">
        <v>3.877159309021113E-2</v>
      </c>
      <c r="G25" s="92">
        <v>4.1571319603356215E-2</v>
      </c>
      <c r="H25" s="92">
        <v>4.1635408852213056E-2</v>
      </c>
    </row>
    <row r="26" spans="2:8" ht="15" x14ac:dyDescent="0.2">
      <c r="B26" s="95" t="s">
        <v>645</v>
      </c>
      <c r="C26" s="96">
        <v>2698</v>
      </c>
      <c r="D26" s="96">
        <v>2620</v>
      </c>
      <c r="E26" s="96">
        <v>2686</v>
      </c>
      <c r="F26" s="96">
        <v>2605</v>
      </c>
      <c r="G26" s="96">
        <v>2622</v>
      </c>
      <c r="H26" s="96">
        <v>2666</v>
      </c>
    </row>
    <row r="27" spans="2:8" x14ac:dyDescent="0.2">
      <c r="B27" s="97" t="s">
        <v>646</v>
      </c>
    </row>
    <row r="28" spans="2:8" x14ac:dyDescent="0.2">
      <c r="B28" s="97" t="s">
        <v>647</v>
      </c>
    </row>
    <row r="30" spans="2:8" ht="15" x14ac:dyDescent="0.2">
      <c r="B30" s="73" t="s">
        <v>610</v>
      </c>
    </row>
    <row r="32" spans="2:8" x14ac:dyDescent="0.2">
      <c r="B32" t="s">
        <v>127</v>
      </c>
    </row>
    <row r="33" spans="2:14" ht="15" x14ac:dyDescent="0.25">
      <c r="B33" s="98" t="s">
        <v>128</v>
      </c>
    </row>
    <row r="34" spans="2:14" x14ac:dyDescent="0.2">
      <c r="B34" t="s">
        <v>623</v>
      </c>
    </row>
    <row r="36" spans="2:14" ht="15" x14ac:dyDescent="0.25">
      <c r="B36" s="88"/>
      <c r="C36" s="260" t="s">
        <v>626</v>
      </c>
      <c r="D36" s="260"/>
      <c r="E36" s="260" t="s">
        <v>627</v>
      </c>
      <c r="F36" s="260"/>
      <c r="G36" s="260" t="s">
        <v>595</v>
      </c>
      <c r="H36" s="260"/>
      <c r="I36" s="260" t="s">
        <v>578</v>
      </c>
      <c r="J36" s="260"/>
      <c r="K36" s="260" t="s">
        <v>579</v>
      </c>
      <c r="L36" s="260"/>
      <c r="M36" s="260" t="s">
        <v>580</v>
      </c>
      <c r="N36" s="260"/>
    </row>
    <row r="37" spans="2:14" ht="57.75" customHeight="1" x14ac:dyDescent="0.25">
      <c r="B37" s="99"/>
      <c r="C37" s="100" t="s">
        <v>648</v>
      </c>
      <c r="D37" s="100" t="s">
        <v>649</v>
      </c>
      <c r="E37" s="100" t="s">
        <v>648</v>
      </c>
      <c r="F37" s="100" t="s">
        <v>649</v>
      </c>
      <c r="G37" s="100" t="s">
        <v>648</v>
      </c>
      <c r="H37" s="100" t="s">
        <v>649</v>
      </c>
      <c r="I37" s="100" t="s">
        <v>648</v>
      </c>
      <c r="J37" s="100" t="s">
        <v>649</v>
      </c>
      <c r="K37" s="100" t="s">
        <v>648</v>
      </c>
      <c r="L37" s="100" t="s">
        <v>649</v>
      </c>
      <c r="M37" s="100" t="s">
        <v>648</v>
      </c>
      <c r="N37" s="100" t="s">
        <v>649</v>
      </c>
    </row>
    <row r="38" spans="2:14" x14ac:dyDescent="0.2">
      <c r="B38" s="91" t="s">
        <v>628</v>
      </c>
      <c r="C38" s="101">
        <v>0.37361008154188285</v>
      </c>
      <c r="D38" s="101">
        <v>1.8254366749408106E-2</v>
      </c>
      <c r="E38" s="101">
        <v>0.36870229007633587</v>
      </c>
      <c r="F38" s="101">
        <v>1.8473979194953308E-2</v>
      </c>
      <c r="G38" s="101">
        <v>0.35889798957557706</v>
      </c>
      <c r="H38" s="101">
        <v>1.8140620973882464E-2</v>
      </c>
      <c r="I38" s="101">
        <v>0.35201535508637238</v>
      </c>
      <c r="J38" s="101">
        <v>1.8062016244483892E-2</v>
      </c>
      <c r="K38" s="101">
        <v>0.34477498093058734</v>
      </c>
      <c r="L38" s="101">
        <v>1.8192937825394426E-2</v>
      </c>
      <c r="M38" s="101">
        <v>0.36571642910727681</v>
      </c>
      <c r="N38" s="101">
        <v>1.8282684524408836E-2</v>
      </c>
    </row>
    <row r="39" spans="2:14" x14ac:dyDescent="0.2">
      <c r="B39" s="93" t="s">
        <v>629</v>
      </c>
      <c r="C39" s="102">
        <v>0.26797627872498148</v>
      </c>
      <c r="D39" s="102">
        <v>1.6712670541770471E-2</v>
      </c>
      <c r="E39" s="102">
        <v>0.27671755725190839</v>
      </c>
      <c r="F39" s="102">
        <v>1.704961939094643E-2</v>
      </c>
      <c r="G39" s="102">
        <v>0.28145941921072226</v>
      </c>
      <c r="H39" s="102">
        <v>1.7007348504700759E-2</v>
      </c>
      <c r="I39" s="102">
        <v>0.28675623800383876</v>
      </c>
      <c r="J39" s="102">
        <v>1.7103244147602076E-2</v>
      </c>
      <c r="K39" s="102">
        <v>0.27536231884057971</v>
      </c>
      <c r="L39" s="102">
        <v>1.7098280583196207E-2</v>
      </c>
      <c r="M39" s="102">
        <v>0.27569392348087024</v>
      </c>
      <c r="N39" s="102">
        <v>1.6962921807936959E-2</v>
      </c>
    </row>
    <row r="40" spans="2:14" ht="13.9" customHeight="1" x14ac:dyDescent="0.2">
      <c r="B40" s="91" t="s">
        <v>630</v>
      </c>
      <c r="C40" s="101">
        <v>0.27501853224610823</v>
      </c>
      <c r="D40" s="101">
        <v>1.6849209537115328E-2</v>
      </c>
      <c r="E40" s="101">
        <v>0.27251908396946567</v>
      </c>
      <c r="F40" s="101">
        <v>1.7130803945891369E-2</v>
      </c>
      <c r="G40" s="101">
        <v>0.25949367088607594</v>
      </c>
      <c r="H40" s="101">
        <v>1.6577950535262422E-2</v>
      </c>
      <c r="I40" s="101">
        <v>0.25374280230326296</v>
      </c>
      <c r="J40" s="101">
        <v>1.6456754847135147E-2</v>
      </c>
      <c r="K40" s="101">
        <v>0.25286041189931352</v>
      </c>
      <c r="L40" s="101">
        <v>1.6637230076771637E-2</v>
      </c>
      <c r="M40" s="101">
        <v>0.2693173293323331</v>
      </c>
      <c r="N40" s="101">
        <v>1.6839242535779276E-2</v>
      </c>
    </row>
    <row r="41" spans="2:14" ht="28.5" x14ac:dyDescent="0.2">
      <c r="B41" s="93" t="s">
        <v>631</v>
      </c>
      <c r="C41" s="102">
        <v>0.28836174944403259</v>
      </c>
      <c r="D41" s="102">
        <v>1.709360114914258E-2</v>
      </c>
      <c r="E41" s="102">
        <v>0.28778625954198472</v>
      </c>
      <c r="F41" s="102">
        <v>1.7335869418205811E-2</v>
      </c>
      <c r="G41" s="102">
        <v>0.28257632166790769</v>
      </c>
      <c r="H41" s="102">
        <v>1.702781033534035E-2</v>
      </c>
      <c r="I41" s="102">
        <v>0.2687140115163148</v>
      </c>
      <c r="J41" s="102">
        <v>1.6764548036435699E-2</v>
      </c>
      <c r="K41" s="102">
        <v>0.25476735316552251</v>
      </c>
      <c r="L41" s="102">
        <v>1.6678521581651146E-2</v>
      </c>
      <c r="M41" s="102">
        <v>0.25656414103525882</v>
      </c>
      <c r="N41" s="102">
        <v>1.6578518936051324E-2</v>
      </c>
    </row>
    <row r="42" spans="2:14" x14ac:dyDescent="0.2">
      <c r="B42" s="91" t="s">
        <v>632</v>
      </c>
      <c r="C42" s="101">
        <v>0.2268346923647146</v>
      </c>
      <c r="D42" s="101">
        <v>1.5802507913028271E-2</v>
      </c>
      <c r="E42" s="101">
        <v>0.22366412213740458</v>
      </c>
      <c r="F42" s="101">
        <v>1.5956161254407769E-2</v>
      </c>
      <c r="G42" s="101">
        <v>0.21518987341772153</v>
      </c>
      <c r="H42" s="101">
        <v>1.5541619831469891E-2</v>
      </c>
      <c r="I42" s="101">
        <v>0.20729366602687141</v>
      </c>
      <c r="J42" s="101">
        <v>1.5330356259366384E-2</v>
      </c>
      <c r="K42" s="101">
        <v>0.21929824561403508</v>
      </c>
      <c r="L42" s="101">
        <v>1.5837983420476594E-2</v>
      </c>
      <c r="M42" s="101">
        <v>0.22843210802700675</v>
      </c>
      <c r="N42" s="101">
        <v>1.5936452253456305E-2</v>
      </c>
    </row>
    <row r="43" spans="2:14" x14ac:dyDescent="0.2">
      <c r="B43" s="93" t="s">
        <v>633</v>
      </c>
      <c r="C43" s="102">
        <v>0.1994069681245367</v>
      </c>
      <c r="D43" s="102">
        <v>1.5076869187935493E-2</v>
      </c>
      <c r="E43" s="102">
        <v>0.20190839694656487</v>
      </c>
      <c r="F43" s="102">
        <v>1.5371242948145483E-2</v>
      </c>
      <c r="G43" s="102">
        <v>0.20848845867460908</v>
      </c>
      <c r="H43" s="102">
        <v>1.5362882270199593E-2</v>
      </c>
      <c r="I43" s="102">
        <v>0.2107485604606526</v>
      </c>
      <c r="J43" s="102">
        <v>1.5423859729685862E-2</v>
      </c>
      <c r="K43" s="102">
        <v>0.21929824561403508</v>
      </c>
      <c r="L43" s="102">
        <v>1.5837983420476594E-2</v>
      </c>
      <c r="M43" s="102">
        <v>0.22055513878469618</v>
      </c>
      <c r="N43" s="102">
        <v>1.5739005545260171E-2</v>
      </c>
    </row>
    <row r="44" spans="2:14" x14ac:dyDescent="0.2">
      <c r="B44" s="91" t="s">
        <v>634</v>
      </c>
      <c r="C44" s="101">
        <v>0.21015567086730913</v>
      </c>
      <c r="D44" s="101">
        <v>1.5373629399733843E-2</v>
      </c>
      <c r="E44" s="101">
        <v>0.20267175572519083</v>
      </c>
      <c r="F44" s="101">
        <v>1.539290591616521E-2</v>
      </c>
      <c r="G44" s="101">
        <v>0.20327624720774387</v>
      </c>
      <c r="H44" s="101">
        <v>1.5219495861779585E-2</v>
      </c>
      <c r="I44" s="101">
        <v>0.2</v>
      </c>
      <c r="J44" s="101">
        <v>1.5127357080509834E-2</v>
      </c>
      <c r="K44" s="101">
        <v>0.19145690312738367</v>
      </c>
      <c r="L44" s="101">
        <v>1.5060064412454143E-2</v>
      </c>
      <c r="M44" s="101">
        <v>0.1984246061515379</v>
      </c>
      <c r="N44" s="101">
        <v>1.5138956839916482E-2</v>
      </c>
    </row>
    <row r="45" spans="2:14" ht="13.9" customHeight="1" x14ac:dyDescent="0.2">
      <c r="B45" s="93" t="s">
        <v>635</v>
      </c>
      <c r="C45" s="102">
        <v>0.22312824314306895</v>
      </c>
      <c r="D45" s="102">
        <v>1.5710392600638983E-2</v>
      </c>
      <c r="E45" s="102">
        <v>0.21832061068702291</v>
      </c>
      <c r="F45" s="102">
        <v>1.581856651226687E-2</v>
      </c>
      <c r="G45" s="102">
        <v>0.22375279225614297</v>
      </c>
      <c r="H45" s="102">
        <v>1.5761129032532295E-2</v>
      </c>
      <c r="I45" s="102">
        <v>0.20499040307101726</v>
      </c>
      <c r="J45" s="102">
        <v>1.526708127254257E-2</v>
      </c>
      <c r="K45" s="102">
        <v>0.18993135011441648</v>
      </c>
      <c r="L45" s="102">
        <v>1.5014088376890933E-2</v>
      </c>
      <c r="M45" s="102">
        <v>0.18079519879969994</v>
      </c>
      <c r="N45" s="102">
        <v>1.4608838563025785E-2</v>
      </c>
    </row>
    <row r="46" spans="2:14" x14ac:dyDescent="0.2">
      <c r="B46" s="91" t="s">
        <v>636</v>
      </c>
      <c r="C46" s="101">
        <v>0.13306152705707933</v>
      </c>
      <c r="D46" s="101">
        <v>1.2816088229277654E-2</v>
      </c>
      <c r="E46" s="101">
        <v>0.13549618320610687</v>
      </c>
      <c r="F46" s="101">
        <v>1.3105464370964361E-2</v>
      </c>
      <c r="G46" s="101">
        <v>0.14631422189128815</v>
      </c>
      <c r="H46" s="101">
        <v>1.3365812407828916E-2</v>
      </c>
      <c r="I46" s="101">
        <v>0.15239923224568139</v>
      </c>
      <c r="J46" s="101">
        <v>1.3592211617778283E-2</v>
      </c>
      <c r="K46" s="101">
        <v>0.15331807780320367</v>
      </c>
      <c r="L46" s="101">
        <v>1.379102526499127E-2</v>
      </c>
      <c r="M46" s="101">
        <v>0.16204051012753187</v>
      </c>
      <c r="N46" s="101">
        <v>1.3987796697816319E-2</v>
      </c>
    </row>
    <row r="47" spans="2:14" x14ac:dyDescent="0.2">
      <c r="B47" s="93" t="s">
        <v>637</v>
      </c>
      <c r="C47" s="102">
        <v>0.11267605633802817</v>
      </c>
      <c r="D47" s="102">
        <v>1.1931416827998156E-2</v>
      </c>
      <c r="E47" s="102">
        <v>0.11564885496183207</v>
      </c>
      <c r="F47" s="102">
        <v>1.2245836749747368E-2</v>
      </c>
      <c r="G47" s="102">
        <v>0.12285927029039465</v>
      </c>
      <c r="H47" s="102">
        <v>1.2414855580319023E-2</v>
      </c>
      <c r="I47" s="102">
        <v>0.12168905950095969</v>
      </c>
      <c r="J47" s="102">
        <v>1.2363828740178278E-2</v>
      </c>
      <c r="K47" s="102">
        <v>0.12738367658276126</v>
      </c>
      <c r="L47" s="102">
        <v>1.2761692733422376E-2</v>
      </c>
      <c r="M47" s="102">
        <v>0.12790697674418605</v>
      </c>
      <c r="N47" s="102">
        <v>1.2678110183798936E-2</v>
      </c>
    </row>
    <row r="48" spans="2:14" x14ac:dyDescent="0.2">
      <c r="B48" s="91" t="s">
        <v>638</v>
      </c>
      <c r="C48" s="101">
        <v>0.15011119347664936</v>
      </c>
      <c r="D48" s="101">
        <v>1.3477914354741731E-2</v>
      </c>
      <c r="E48" s="101">
        <v>0.1484732824427481</v>
      </c>
      <c r="F48" s="101">
        <v>1.3615347186812456E-2</v>
      </c>
      <c r="G48" s="101">
        <v>0.14780342516753536</v>
      </c>
      <c r="H48" s="101">
        <v>1.3421937388980575E-2</v>
      </c>
      <c r="I48" s="101">
        <v>0.14126679462571978</v>
      </c>
      <c r="J48" s="101">
        <v>1.3172015738058797E-2</v>
      </c>
      <c r="K48" s="101">
        <v>0.12967200610221205</v>
      </c>
      <c r="L48" s="101">
        <v>1.2858914802552199E-2</v>
      </c>
      <c r="M48" s="101">
        <v>0.12528132033008252</v>
      </c>
      <c r="N48" s="101">
        <v>1.2566182426461993E-2</v>
      </c>
    </row>
    <row r="49" spans="2:14" ht="28.5" x14ac:dyDescent="0.2">
      <c r="B49" s="93" t="s">
        <v>639</v>
      </c>
      <c r="C49" s="102">
        <v>0.11452928094885099</v>
      </c>
      <c r="D49" s="102">
        <v>1.2016568540432626E-2</v>
      </c>
      <c r="E49" s="102">
        <v>0.12061068702290076</v>
      </c>
      <c r="F49" s="102">
        <v>1.2470644903988092E-2</v>
      </c>
      <c r="G49" s="102">
        <v>0.12993298585256888</v>
      </c>
      <c r="H49" s="102">
        <v>1.2715666488132266E-2</v>
      </c>
      <c r="I49" s="102">
        <v>0.1289827255278311</v>
      </c>
      <c r="J49" s="102">
        <v>1.2675999873726161E-2</v>
      </c>
      <c r="K49" s="102">
        <v>0.12166285278413425</v>
      </c>
      <c r="L49" s="102">
        <v>1.251265155732938E-2</v>
      </c>
      <c r="M49" s="102">
        <v>0.11477869467366841</v>
      </c>
      <c r="N49" s="102">
        <v>1.2099921937100659E-2</v>
      </c>
    </row>
    <row r="50" spans="2:14" x14ac:dyDescent="0.2">
      <c r="B50" s="91" t="s">
        <v>640</v>
      </c>
      <c r="C50" s="101">
        <v>0.10600444773906598</v>
      </c>
      <c r="D50" s="101">
        <v>1.161621981541181E-2</v>
      </c>
      <c r="E50" s="101">
        <v>0.10877862595419847</v>
      </c>
      <c r="F50" s="101">
        <v>1.192257345579118E-2</v>
      </c>
      <c r="G50" s="101">
        <v>0.11355174981384959</v>
      </c>
      <c r="H50" s="101">
        <v>1.1998492275033145E-2</v>
      </c>
      <c r="I50" s="101">
        <v>0.1201535508637236</v>
      </c>
      <c r="J50" s="101">
        <v>1.2296310323559278E-2</v>
      </c>
      <c r="K50" s="101">
        <v>0.11098398169336385</v>
      </c>
      <c r="L50" s="101">
        <v>1.2023327352873299E-2</v>
      </c>
      <c r="M50" s="101">
        <v>0.109152288072018</v>
      </c>
      <c r="N50" s="101">
        <v>1.1837068346620339E-2</v>
      </c>
    </row>
    <row r="51" spans="2:14" ht="28.5" x14ac:dyDescent="0.2">
      <c r="B51" s="93" t="s">
        <v>641</v>
      </c>
      <c r="C51" s="102">
        <v>6.8198665678280201E-2</v>
      </c>
      <c r="D51" s="102">
        <v>9.5122816646120781E-3</v>
      </c>
      <c r="E51" s="102">
        <v>6.6030534351145032E-2</v>
      </c>
      <c r="F51" s="102">
        <v>9.5092041366939759E-3</v>
      </c>
      <c r="G51" s="102">
        <v>7.2970960536113183E-2</v>
      </c>
      <c r="H51" s="102">
        <v>9.8361415075218419E-3</v>
      </c>
      <c r="I51" s="102">
        <v>7.9078694817658349E-2</v>
      </c>
      <c r="J51" s="102">
        <v>1.0205729980045325E-2</v>
      </c>
      <c r="K51" s="102">
        <v>9.2677345537757444E-2</v>
      </c>
      <c r="L51" s="102">
        <v>1.1099601786235569E-2</v>
      </c>
      <c r="M51" s="102">
        <v>9.7899474868717182E-2</v>
      </c>
      <c r="N51" s="102">
        <v>1.1280897359443227E-2</v>
      </c>
    </row>
    <row r="52" spans="2:14" x14ac:dyDescent="0.2">
      <c r="B52" s="91" t="s">
        <v>642</v>
      </c>
      <c r="C52" s="101">
        <v>1.9273535952557451E-2</v>
      </c>
      <c r="D52" s="101">
        <v>5.1878778875744545E-3</v>
      </c>
      <c r="E52" s="101">
        <v>1.8320610687022901E-2</v>
      </c>
      <c r="F52" s="101">
        <v>5.1352339653989911E-3</v>
      </c>
      <c r="G52" s="101">
        <v>1.4147431124348473E-2</v>
      </c>
      <c r="H52" s="101">
        <v>4.4662995516926828E-3</v>
      </c>
      <c r="I52" s="101">
        <v>1.2284069097888676E-2</v>
      </c>
      <c r="J52" s="101">
        <v>4.1657214047223605E-3</v>
      </c>
      <c r="K52" s="101">
        <v>9.9160945842868033E-3</v>
      </c>
      <c r="L52" s="101">
        <v>3.7926787501275307E-3</v>
      </c>
      <c r="M52" s="101">
        <v>9.0022505626406596E-3</v>
      </c>
      <c r="N52" s="101">
        <v>3.5854022049968985E-3</v>
      </c>
    </row>
    <row r="53" spans="2:14" x14ac:dyDescent="0.2">
      <c r="B53" s="93" t="s">
        <v>643</v>
      </c>
      <c r="C53" s="102">
        <v>0.13491475166790215</v>
      </c>
      <c r="D53" s="102">
        <v>1.2891227448924117E-2</v>
      </c>
      <c r="E53" s="102">
        <v>0.1431297709923664</v>
      </c>
      <c r="F53" s="102">
        <v>1.3409974157233657E-2</v>
      </c>
      <c r="G53" s="102">
        <v>0.16344005956813104</v>
      </c>
      <c r="H53" s="102">
        <v>1.3983981965082588E-2</v>
      </c>
      <c r="I53" s="102">
        <v>0.17274472168905949</v>
      </c>
      <c r="J53" s="102">
        <v>1.4296352033176729E-2</v>
      </c>
      <c r="K53" s="102">
        <v>0.19412662090007629</v>
      </c>
      <c r="L53" s="102">
        <v>1.513964458984174E-2</v>
      </c>
      <c r="M53" s="102">
        <v>0.17741935483870969</v>
      </c>
      <c r="N53" s="102">
        <v>1.450159392970286E-2</v>
      </c>
    </row>
    <row r="54" spans="2:14" x14ac:dyDescent="0.2">
      <c r="B54" s="91" t="s">
        <v>644</v>
      </c>
      <c r="C54" s="101">
        <v>4.1512231282431429E-2</v>
      </c>
      <c r="D54" s="101">
        <v>7.5269048317281404E-3</v>
      </c>
      <c r="E54" s="101">
        <v>4.1984732824427481E-2</v>
      </c>
      <c r="F54" s="101">
        <v>7.6795776798979165E-3</v>
      </c>
      <c r="G54" s="101">
        <v>4.169769173492182E-2</v>
      </c>
      <c r="H54" s="101">
        <v>7.5598006162017851E-3</v>
      </c>
      <c r="I54" s="101">
        <v>3.877159309021113E-2</v>
      </c>
      <c r="J54" s="101">
        <v>7.3008460158837133E-3</v>
      </c>
      <c r="K54" s="101">
        <v>4.1571319603356215E-2</v>
      </c>
      <c r="L54" s="101">
        <v>7.6404076999731759E-3</v>
      </c>
      <c r="M54" s="101">
        <v>4.1635408852213056E-2</v>
      </c>
      <c r="N54" s="101">
        <v>7.5826811671293138E-3</v>
      </c>
    </row>
    <row r="56" spans="2:14" x14ac:dyDescent="0.2">
      <c r="B56" s="97" t="s">
        <v>646</v>
      </c>
    </row>
    <row r="58" spans="2:14" ht="15" x14ac:dyDescent="0.2">
      <c r="B58" s="73" t="s">
        <v>610</v>
      </c>
    </row>
  </sheetData>
  <mergeCells count="8">
    <mergeCell ref="C7:H7"/>
    <mergeCell ref="J7:Q7"/>
    <mergeCell ref="C36:D36"/>
    <mergeCell ref="E36:F36"/>
    <mergeCell ref="G36:H36"/>
    <mergeCell ref="I36:J36"/>
    <mergeCell ref="K36:L36"/>
    <mergeCell ref="M36:N36"/>
  </mergeCells>
  <hyperlinks>
    <hyperlink ref="B30" location="Contents!A1" tooltip="Contents Page" display="Return to Contents Page" xr:uid="{2B5B9703-15E8-4A76-BC7F-0917DC537968}"/>
    <hyperlink ref="B58" location="Contents!A1" tooltip="Contents Page" display="Return to Contents Page" xr:uid="{385E0760-B5AE-471C-BB09-0773B7EE62AE}"/>
  </hyperlink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57"/>
  <sheetViews>
    <sheetView showGridLines="0" workbookViewId="0"/>
  </sheetViews>
  <sheetFormatPr defaultColWidth="11" defaultRowHeight="14.25" x14ac:dyDescent="0.2"/>
  <cols>
    <col min="2" max="2" width="31.25" customWidth="1"/>
    <col min="3" max="3" width="12.75" bestFit="1" customWidth="1"/>
    <col min="5" max="5" width="12.75" bestFit="1" customWidth="1"/>
    <col min="7" max="7" width="12.75" bestFit="1" customWidth="1"/>
    <col min="9" max="9" width="12.75" bestFit="1" customWidth="1"/>
    <col min="11" max="11" width="12.75" bestFit="1" customWidth="1"/>
    <col min="13" max="13" width="12.75" bestFit="1" customWidth="1"/>
  </cols>
  <sheetData>
    <row r="1" spans="2:10" ht="15" x14ac:dyDescent="0.25">
      <c r="B1" s="40" t="s">
        <v>650</v>
      </c>
    </row>
    <row r="2" spans="2:10" x14ac:dyDescent="0.2">
      <c r="B2" s="39"/>
    </row>
    <row r="3" spans="2:10" x14ac:dyDescent="0.2">
      <c r="B3" s="39" t="s">
        <v>129</v>
      </c>
    </row>
    <row r="4" spans="2:10" ht="15" x14ac:dyDescent="0.25">
      <c r="B4" s="44" t="s">
        <v>130</v>
      </c>
    </row>
    <row r="5" spans="2:10" x14ac:dyDescent="0.2">
      <c r="B5" s="41" t="s">
        <v>623</v>
      </c>
    </row>
    <row r="7" spans="2:10" ht="15" x14ac:dyDescent="0.25">
      <c r="B7" s="88"/>
      <c r="C7" s="256" t="s">
        <v>624</v>
      </c>
      <c r="D7" s="257"/>
      <c r="E7" s="257"/>
      <c r="F7" s="257"/>
      <c r="G7" s="257"/>
      <c r="H7" s="258"/>
      <c r="J7" s="98" t="s">
        <v>651</v>
      </c>
    </row>
    <row r="8" spans="2:10" ht="15" x14ac:dyDescent="0.25">
      <c r="B8" s="89"/>
      <c r="C8" s="90" t="s">
        <v>626</v>
      </c>
      <c r="D8" s="90" t="s">
        <v>627</v>
      </c>
      <c r="E8" s="90" t="s">
        <v>595</v>
      </c>
      <c r="F8" s="90" t="s">
        <v>578</v>
      </c>
      <c r="G8" s="90" t="s">
        <v>579</v>
      </c>
      <c r="H8" s="90" t="s">
        <v>580</v>
      </c>
    </row>
    <row r="9" spans="2:10" x14ac:dyDescent="0.2">
      <c r="B9" s="91" t="s">
        <v>629</v>
      </c>
      <c r="C9" s="92">
        <v>0.5473515248796148</v>
      </c>
      <c r="D9" s="92">
        <v>0.54964539007092195</v>
      </c>
      <c r="E9" s="92">
        <v>0.54401408450704225</v>
      </c>
      <c r="F9" s="92">
        <v>0.55232558139534882</v>
      </c>
      <c r="G9" s="92">
        <v>0.55198487712665412</v>
      </c>
      <c r="H9" s="92">
        <v>0.56272401433691754</v>
      </c>
    </row>
    <row r="10" spans="2:10" ht="28.5" x14ac:dyDescent="0.2">
      <c r="B10" s="93" t="s">
        <v>652</v>
      </c>
      <c r="C10" s="94">
        <v>0.49759229534510435</v>
      </c>
      <c r="D10" s="94">
        <v>0.51063829787234039</v>
      </c>
      <c r="E10" s="94">
        <v>0.51056338028169013</v>
      </c>
      <c r="F10" s="94">
        <v>0.49224806201550386</v>
      </c>
      <c r="G10" s="94">
        <v>0.47826086956521741</v>
      </c>
      <c r="H10" s="94">
        <v>0.48566308243727596</v>
      </c>
    </row>
    <row r="11" spans="2:10" x14ac:dyDescent="0.2">
      <c r="B11" s="91" t="s">
        <v>653</v>
      </c>
      <c r="C11" s="92">
        <v>0.3547351524879615</v>
      </c>
      <c r="D11" s="92">
        <v>0.35815602836879434</v>
      </c>
      <c r="E11" s="92">
        <v>0.39084507042253519</v>
      </c>
      <c r="F11" s="92"/>
      <c r="G11" s="92">
        <v>0.37996219281663518</v>
      </c>
      <c r="H11" s="92">
        <v>0.40143369175627241</v>
      </c>
    </row>
    <row r="12" spans="2:10" x14ac:dyDescent="0.2">
      <c r="B12" s="93" t="s">
        <v>654</v>
      </c>
      <c r="C12" s="94">
        <v>0.43980738362760835</v>
      </c>
      <c r="D12" s="94">
        <v>0.41843971631205673</v>
      </c>
      <c r="E12" s="94">
        <v>0.43838028169014087</v>
      </c>
      <c r="F12" s="94">
        <v>0.42248062015503873</v>
      </c>
      <c r="G12" s="94">
        <v>0.38941398865784499</v>
      </c>
      <c r="H12" s="94">
        <v>0.37455197132616486</v>
      </c>
    </row>
    <row r="13" spans="2:10" ht="13.9" customHeight="1" x14ac:dyDescent="0.2">
      <c r="B13" s="91" t="s">
        <v>630</v>
      </c>
      <c r="C13" s="92">
        <v>0.37720706260032105</v>
      </c>
      <c r="D13" s="92">
        <v>0.38829787234042551</v>
      </c>
      <c r="E13" s="92">
        <v>0.37852112676056338</v>
      </c>
      <c r="F13" s="92">
        <v>0.35852713178294576</v>
      </c>
      <c r="G13" s="92">
        <v>0.35349716446124763</v>
      </c>
      <c r="H13" s="92">
        <v>0.37096774193548387</v>
      </c>
    </row>
    <row r="14" spans="2:10" x14ac:dyDescent="0.2">
      <c r="B14" s="93" t="s">
        <v>633</v>
      </c>
      <c r="C14" s="94">
        <v>0.36436597110754415</v>
      </c>
      <c r="D14" s="94">
        <v>0.37234042553191488</v>
      </c>
      <c r="E14" s="94">
        <v>0.37676056338028169</v>
      </c>
      <c r="F14" s="94">
        <v>0.33139534883720928</v>
      </c>
      <c r="G14" s="94">
        <v>0.31758034026465026</v>
      </c>
      <c r="H14" s="94">
        <v>0.33870967741935482</v>
      </c>
    </row>
    <row r="15" spans="2:10" x14ac:dyDescent="0.2">
      <c r="B15" s="91" t="s">
        <v>655</v>
      </c>
      <c r="C15" s="92">
        <v>0.2841091492776886</v>
      </c>
      <c r="D15" s="92">
        <v>0.30319148936170215</v>
      </c>
      <c r="E15" s="92">
        <v>0.29929577464788731</v>
      </c>
      <c r="F15" s="92">
        <v>0.27906976744186046</v>
      </c>
      <c r="G15" s="92">
        <v>0.28922495274102078</v>
      </c>
      <c r="H15" s="92">
        <v>0.32078853046594979</v>
      </c>
    </row>
    <row r="16" spans="2:10" x14ac:dyDescent="0.2">
      <c r="B16" s="93" t="s">
        <v>656</v>
      </c>
      <c r="C16" s="94">
        <v>0.2247191011235955</v>
      </c>
      <c r="D16" s="94">
        <v>0.24822695035460993</v>
      </c>
      <c r="E16" s="94">
        <v>0.25880281690140844</v>
      </c>
      <c r="F16" s="94">
        <v>0.2441860465116279</v>
      </c>
      <c r="G16" s="94">
        <v>0.25330812854442342</v>
      </c>
      <c r="H16" s="94">
        <v>0.28315412186379929</v>
      </c>
    </row>
    <row r="17" spans="2:10" ht="28.5" x14ac:dyDescent="0.2">
      <c r="B17" s="91" t="s">
        <v>657</v>
      </c>
      <c r="C17" s="92">
        <v>0.17014446227929375</v>
      </c>
      <c r="D17" s="92">
        <v>0.17907801418439717</v>
      </c>
      <c r="E17" s="92">
        <v>0.198943661971831</v>
      </c>
      <c r="F17" s="92">
        <v>0.18410852713178294</v>
      </c>
      <c r="G17" s="92">
        <v>0.20793950850661624</v>
      </c>
      <c r="H17" s="92">
        <v>0.21863799283154123</v>
      </c>
    </row>
    <row r="18" spans="2:10" x14ac:dyDescent="0.2">
      <c r="B18" s="93" t="s">
        <v>658</v>
      </c>
      <c r="C18" s="94">
        <v>0.20224719101123595</v>
      </c>
      <c r="D18" s="94">
        <v>0.20390070921985815</v>
      </c>
      <c r="E18" s="94">
        <v>0.21478873239436619</v>
      </c>
      <c r="F18" s="94">
        <v>0.19961240310077519</v>
      </c>
      <c r="G18" s="94">
        <v>0.19848771266540643</v>
      </c>
      <c r="H18" s="94">
        <v>0.19534050179211471</v>
      </c>
    </row>
    <row r="19" spans="2:10" x14ac:dyDescent="0.2">
      <c r="B19" s="91" t="s">
        <v>659</v>
      </c>
      <c r="C19" s="92">
        <v>0.15890850722311398</v>
      </c>
      <c r="D19" s="92">
        <v>0.1773049645390071</v>
      </c>
      <c r="E19" s="92">
        <v>0.20070422535211269</v>
      </c>
      <c r="F19" s="92">
        <v>0.1744186046511628</v>
      </c>
      <c r="G19" s="92">
        <v>0.17580340264650285</v>
      </c>
      <c r="H19" s="92">
        <v>0.1863799283154122</v>
      </c>
    </row>
    <row r="20" spans="2:10" x14ac:dyDescent="0.2">
      <c r="B20" s="93" t="s">
        <v>640</v>
      </c>
      <c r="C20" s="94">
        <v>0.1332263242375602</v>
      </c>
      <c r="D20" s="94">
        <v>0.11170212765957446</v>
      </c>
      <c r="E20" s="94">
        <v>0.12323943661971831</v>
      </c>
      <c r="F20" s="94">
        <v>0.11046511627906977</v>
      </c>
      <c r="G20" s="94">
        <v>0.14177693761814744</v>
      </c>
      <c r="H20" s="94">
        <v>0.15232974910394265</v>
      </c>
    </row>
    <row r="21" spans="2:10" x14ac:dyDescent="0.2">
      <c r="B21" s="91" t="s">
        <v>638</v>
      </c>
      <c r="C21" s="92">
        <v>5.93900481540931E-2</v>
      </c>
      <c r="D21" s="92">
        <v>6.9148936170212769E-2</v>
      </c>
      <c r="E21" s="92">
        <v>8.4507042253521125E-2</v>
      </c>
      <c r="F21" s="92">
        <v>9.3023255813953487E-2</v>
      </c>
      <c r="G21" s="92">
        <v>9.8298676748582225E-2</v>
      </c>
      <c r="H21" s="92">
        <v>9.1397849462365593E-2</v>
      </c>
    </row>
    <row r="22" spans="2:10" x14ac:dyDescent="0.2">
      <c r="B22" s="93" t="s">
        <v>642</v>
      </c>
      <c r="C22" s="94">
        <v>1.2841091492776886E-2</v>
      </c>
      <c r="D22" s="94">
        <v>1.2411347517730497E-2</v>
      </c>
      <c r="E22" s="94">
        <v>8.8028169014084511E-3</v>
      </c>
      <c r="F22" s="94">
        <v>7.7519379844961239E-3</v>
      </c>
      <c r="G22" s="94">
        <v>1.890359168241966E-3</v>
      </c>
      <c r="H22" s="94">
        <v>7.1684587813620072E-3</v>
      </c>
    </row>
    <row r="23" spans="2:10" x14ac:dyDescent="0.2">
      <c r="B23" s="91" t="s">
        <v>643</v>
      </c>
      <c r="C23" s="92">
        <v>5.2969502407704656E-2</v>
      </c>
      <c r="D23" s="92">
        <v>6.2056737588652482E-2</v>
      </c>
      <c r="E23" s="92">
        <v>4.7535211267605633E-2</v>
      </c>
      <c r="F23" s="92">
        <v>6.3953488372093026E-2</v>
      </c>
      <c r="G23" s="92">
        <v>6.6162570888468802E-2</v>
      </c>
      <c r="H23" s="92">
        <v>6.093189964157706E-2</v>
      </c>
    </row>
    <row r="24" spans="2:10" x14ac:dyDescent="0.2">
      <c r="B24" s="93" t="s">
        <v>660</v>
      </c>
      <c r="C24" s="94">
        <v>3.3707865168539297E-2</v>
      </c>
      <c r="D24" s="94">
        <v>3.5460992907801421E-2</v>
      </c>
      <c r="E24" s="94">
        <v>4.0492957746478875E-2</v>
      </c>
      <c r="F24" s="94">
        <v>4.4573643410852716E-2</v>
      </c>
      <c r="G24" s="94">
        <v>5.8601134215500943E-2</v>
      </c>
      <c r="H24" s="94">
        <v>6.2724014336917558E-2</v>
      </c>
    </row>
    <row r="25" spans="2:10" ht="15" x14ac:dyDescent="0.2">
      <c r="B25" s="103" t="s">
        <v>645</v>
      </c>
      <c r="C25" s="104">
        <v>623</v>
      </c>
      <c r="D25" s="104">
        <v>564</v>
      </c>
      <c r="E25" s="104">
        <v>568</v>
      </c>
      <c r="F25" s="104">
        <v>516</v>
      </c>
      <c r="G25" s="104">
        <v>529</v>
      </c>
      <c r="H25" s="104">
        <v>558</v>
      </c>
    </row>
    <row r="26" spans="2:10" ht="15" x14ac:dyDescent="0.2">
      <c r="B26" s="105"/>
      <c r="C26" s="106"/>
      <c r="D26" s="106"/>
      <c r="E26" s="106"/>
      <c r="F26" s="106"/>
      <c r="G26" s="106"/>
      <c r="H26" s="106"/>
    </row>
    <row r="27" spans="2:10" x14ac:dyDescent="0.2">
      <c r="B27" s="97" t="s">
        <v>646</v>
      </c>
    </row>
    <row r="28" spans="2:10" x14ac:dyDescent="0.2">
      <c r="B28" s="97" t="s">
        <v>647</v>
      </c>
    </row>
    <row r="29" spans="2:10" x14ac:dyDescent="0.2">
      <c r="J29" s="97" t="s">
        <v>661</v>
      </c>
    </row>
    <row r="30" spans="2:10" ht="15" x14ac:dyDescent="0.2">
      <c r="B30" s="73" t="s">
        <v>610</v>
      </c>
    </row>
    <row r="32" spans="2:10" x14ac:dyDescent="0.2">
      <c r="B32" s="39" t="s">
        <v>131</v>
      </c>
    </row>
    <row r="33" spans="2:14" ht="15" x14ac:dyDescent="0.25">
      <c r="B33" s="44" t="s">
        <v>132</v>
      </c>
    </row>
    <row r="34" spans="2:14" x14ac:dyDescent="0.2">
      <c r="B34" s="41" t="s">
        <v>623</v>
      </c>
    </row>
    <row r="36" spans="2:14" ht="15" x14ac:dyDescent="0.25">
      <c r="B36" s="107"/>
      <c r="C36" s="260" t="s">
        <v>626</v>
      </c>
      <c r="D36" s="260"/>
      <c r="E36" s="260" t="s">
        <v>627</v>
      </c>
      <c r="F36" s="260"/>
      <c r="G36" s="260" t="s">
        <v>595</v>
      </c>
      <c r="H36" s="260"/>
      <c r="I36" s="260" t="s">
        <v>578</v>
      </c>
      <c r="J36" s="260"/>
      <c r="K36" s="260" t="s">
        <v>579</v>
      </c>
      <c r="L36" s="260"/>
      <c r="M36" s="260" t="s">
        <v>580</v>
      </c>
      <c r="N36" s="260"/>
    </row>
    <row r="37" spans="2:14" ht="57.75" customHeight="1" x14ac:dyDescent="0.2">
      <c r="B37" s="108"/>
      <c r="C37" s="100" t="s">
        <v>648</v>
      </c>
      <c r="D37" s="100" t="s">
        <v>649</v>
      </c>
      <c r="E37" s="100" t="s">
        <v>648</v>
      </c>
      <c r="F37" s="100" t="s">
        <v>649</v>
      </c>
      <c r="G37" s="100" t="s">
        <v>648</v>
      </c>
      <c r="H37" s="100" t="s">
        <v>649</v>
      </c>
      <c r="I37" s="100" t="s">
        <v>648</v>
      </c>
      <c r="J37" s="100" t="s">
        <v>649</v>
      </c>
      <c r="K37" s="100" t="s">
        <v>648</v>
      </c>
      <c r="L37" s="100" t="s">
        <v>649</v>
      </c>
      <c r="M37" s="100" t="s">
        <v>648</v>
      </c>
      <c r="N37" s="100" t="s">
        <v>649</v>
      </c>
    </row>
    <row r="38" spans="2:14" x14ac:dyDescent="0.2">
      <c r="B38" s="91" t="s">
        <v>629</v>
      </c>
      <c r="C38" s="92">
        <v>0.5473515248796148</v>
      </c>
      <c r="D38" s="92">
        <v>3.9086406556953578E-2</v>
      </c>
      <c r="E38" s="92">
        <v>0.54964539007092195</v>
      </c>
      <c r="F38" s="92">
        <v>4.1061529334276071E-2</v>
      </c>
      <c r="G38" s="92">
        <v>0.54401408450704225</v>
      </c>
      <c r="H38" s="92">
        <v>4.0960258569426956E-2</v>
      </c>
      <c r="I38" s="92">
        <v>0.55232558139534882</v>
      </c>
      <c r="J38" s="92">
        <v>4.0894096908948747E-2</v>
      </c>
      <c r="K38" s="92">
        <v>0.56272401433691754</v>
      </c>
      <c r="L38" s="92">
        <v>4.1158971148171491E-2</v>
      </c>
      <c r="M38" s="92">
        <v>0.56272401433691754</v>
      </c>
      <c r="N38" s="92">
        <v>4.1158971148171491E-2</v>
      </c>
    </row>
    <row r="39" spans="2:14" ht="28.5" x14ac:dyDescent="0.2">
      <c r="B39" s="93" t="s">
        <v>652</v>
      </c>
      <c r="C39" s="94">
        <v>0.4975922953451043</v>
      </c>
      <c r="D39" s="94">
        <v>3.9262415710895768E-2</v>
      </c>
      <c r="E39" s="94">
        <v>0.51063829787234039</v>
      </c>
      <c r="F39" s="94">
        <v>4.1256102775233741E-2</v>
      </c>
      <c r="G39" s="94">
        <v>0.51056338028169013</v>
      </c>
      <c r="H39" s="94">
        <v>4.1110708806996715E-2</v>
      </c>
      <c r="I39" s="94">
        <v>0.49224806201550386</v>
      </c>
      <c r="J39" s="94">
        <v>4.1114944262462635E-2</v>
      </c>
      <c r="K39" s="94">
        <v>0.48566308243727596</v>
      </c>
      <c r="L39" s="94">
        <v>4.146964969252781E-2</v>
      </c>
      <c r="M39" s="94">
        <v>0.48566308243727596</v>
      </c>
      <c r="N39" s="94">
        <v>4.146964969252781E-2</v>
      </c>
    </row>
    <row r="40" spans="2:14" x14ac:dyDescent="0.2">
      <c r="B40" s="91" t="s">
        <v>653</v>
      </c>
      <c r="C40" s="92">
        <v>0.35473515248796145</v>
      </c>
      <c r="D40" s="92">
        <v>3.7569305319310263E-2</v>
      </c>
      <c r="E40" s="92">
        <v>0.35815602836879434</v>
      </c>
      <c r="F40" s="92">
        <v>3.9570121646028911E-2</v>
      </c>
      <c r="G40" s="92">
        <v>0.39084507042253519</v>
      </c>
      <c r="H40" s="92">
        <v>4.0128054477704726E-2</v>
      </c>
      <c r="I40" s="92">
        <v>0.36240310077519378</v>
      </c>
      <c r="J40" s="92">
        <v>3.9532197291993441E-2</v>
      </c>
      <c r="K40" s="92">
        <v>0.40143369175627241</v>
      </c>
      <c r="L40" s="92">
        <v>4.0672607484026894E-2</v>
      </c>
      <c r="M40" s="92">
        <v>0.40143369175627241</v>
      </c>
      <c r="N40" s="92">
        <v>4.0672607484026894E-2</v>
      </c>
    </row>
    <row r="41" spans="2:14" x14ac:dyDescent="0.2">
      <c r="B41" s="93" t="s">
        <v>654</v>
      </c>
      <c r="C41" s="94">
        <v>0.43980738362760829</v>
      </c>
      <c r="D41" s="94">
        <v>3.897732194222428E-2</v>
      </c>
      <c r="E41" s="94">
        <v>0.41843971631205673</v>
      </c>
      <c r="F41" s="94">
        <v>4.0712740655555753E-2</v>
      </c>
      <c r="G41" s="94">
        <v>0.43838028169014087</v>
      </c>
      <c r="H41" s="94">
        <v>4.0806428234532149E-2</v>
      </c>
      <c r="I41" s="94">
        <v>0.42248062015503873</v>
      </c>
      <c r="J41" s="94">
        <v>4.0622680841002567E-2</v>
      </c>
      <c r="K41" s="94">
        <v>0.37455197132616486</v>
      </c>
      <c r="L41" s="94">
        <v>4.0159715682372539E-2</v>
      </c>
      <c r="M41" s="94">
        <v>0.37455197132616486</v>
      </c>
      <c r="N41" s="94">
        <v>4.0159715682372539E-2</v>
      </c>
    </row>
    <row r="42" spans="2:14" ht="13.9" customHeight="1" x14ac:dyDescent="0.2">
      <c r="B42" s="91" t="s">
        <v>630</v>
      </c>
      <c r="C42" s="92">
        <v>0.377207062600321</v>
      </c>
      <c r="D42" s="92">
        <v>3.8060439179123051E-2</v>
      </c>
      <c r="E42" s="92">
        <v>0.38829787234042551</v>
      </c>
      <c r="F42" s="92">
        <v>4.0222496293832732E-2</v>
      </c>
      <c r="G42" s="92">
        <v>0.37852112676056338</v>
      </c>
      <c r="H42" s="92">
        <v>3.9887806140487717E-2</v>
      </c>
      <c r="I42" s="92">
        <v>0.35852713178294576</v>
      </c>
      <c r="J42" s="92">
        <v>3.9439560162669529E-2</v>
      </c>
      <c r="K42" s="92">
        <v>0.37096774193548387</v>
      </c>
      <c r="L42" s="92">
        <v>4.0081457344978061E-2</v>
      </c>
      <c r="M42" s="92">
        <v>0.37096774193548387</v>
      </c>
      <c r="N42" s="92">
        <v>4.0081457344978061E-2</v>
      </c>
    </row>
    <row r="43" spans="2:14" x14ac:dyDescent="0.2">
      <c r="B43" s="93" t="s">
        <v>633</v>
      </c>
      <c r="C43" s="94">
        <v>0.36436597110754415</v>
      </c>
      <c r="D43" s="94">
        <v>3.779066401581048E-2</v>
      </c>
      <c r="E43" s="94">
        <v>0.37234042553191488</v>
      </c>
      <c r="F43" s="94">
        <v>3.9897776554943934E-2</v>
      </c>
      <c r="G43" s="94">
        <v>0.37676056338028169</v>
      </c>
      <c r="H43" s="94">
        <v>3.9851262586930475E-2</v>
      </c>
      <c r="I43" s="94">
        <v>0.33139534883720928</v>
      </c>
      <c r="J43" s="94">
        <v>3.8711482604354225E-2</v>
      </c>
      <c r="K43" s="94">
        <v>0.33870967741935482</v>
      </c>
      <c r="L43" s="94">
        <v>3.9268911042791878E-2</v>
      </c>
      <c r="M43" s="94">
        <v>0.33870967741935482</v>
      </c>
      <c r="N43" s="94">
        <v>3.9268911042791878E-2</v>
      </c>
    </row>
    <row r="44" spans="2:14" x14ac:dyDescent="0.2">
      <c r="B44" s="91" t="s">
        <v>655</v>
      </c>
      <c r="C44" s="92">
        <v>0.2841091492776886</v>
      </c>
      <c r="D44" s="92">
        <v>3.5414251233342534E-2</v>
      </c>
      <c r="E44" s="92">
        <v>0.30319148936170215</v>
      </c>
      <c r="F44" s="92">
        <v>3.7934271289813963E-2</v>
      </c>
      <c r="G44" s="92">
        <v>0.29929577464788731</v>
      </c>
      <c r="H44" s="92">
        <v>3.7661669206568292E-2</v>
      </c>
      <c r="I44" s="92">
        <v>0.27906976744186046</v>
      </c>
      <c r="J44" s="92">
        <v>3.6887983747246451E-2</v>
      </c>
      <c r="K44" s="92">
        <v>0.32078853046594979</v>
      </c>
      <c r="L44" s="92">
        <v>3.8730302892539294E-2</v>
      </c>
      <c r="M44" s="92">
        <v>0.32078853046594979</v>
      </c>
      <c r="N44" s="92">
        <v>3.8730302892539294E-2</v>
      </c>
    </row>
    <row r="45" spans="2:14" x14ac:dyDescent="0.2">
      <c r="B45" s="93" t="s">
        <v>656</v>
      </c>
      <c r="C45" s="94">
        <v>0.2247191011235955</v>
      </c>
      <c r="D45" s="94">
        <v>3.2776425170727173E-2</v>
      </c>
      <c r="E45" s="94">
        <v>0.24822695035460993</v>
      </c>
      <c r="F45" s="94">
        <v>3.5652038063152057E-2</v>
      </c>
      <c r="G45" s="94">
        <v>0.25880281690140844</v>
      </c>
      <c r="H45" s="94">
        <v>3.6019135336791887E-2</v>
      </c>
      <c r="I45" s="94">
        <v>0.2441860465116279</v>
      </c>
      <c r="J45" s="94">
        <v>3.5330499536131078E-2</v>
      </c>
      <c r="K45" s="94">
        <v>0.28315412186379929</v>
      </c>
      <c r="L45" s="94">
        <v>3.7382067047521332E-2</v>
      </c>
      <c r="M45" s="94">
        <v>0.28315412186379929</v>
      </c>
      <c r="N45" s="94">
        <v>3.7382067047521332E-2</v>
      </c>
    </row>
    <row r="46" spans="2:14" ht="28.5" x14ac:dyDescent="0.2">
      <c r="B46" s="91" t="s">
        <v>657</v>
      </c>
      <c r="C46" s="92">
        <v>0.17014446227929375</v>
      </c>
      <c r="D46" s="92">
        <v>2.95068062877899E-2</v>
      </c>
      <c r="E46" s="92">
        <v>0.17907801418439717</v>
      </c>
      <c r="F46" s="92">
        <v>3.1643797582905274E-2</v>
      </c>
      <c r="G46" s="92">
        <v>0.198943661971831</v>
      </c>
      <c r="H46" s="92">
        <v>3.2830574906297684E-2</v>
      </c>
      <c r="I46" s="92">
        <v>0.18410852713178294</v>
      </c>
      <c r="J46" s="92">
        <v>3.1873888746752461E-2</v>
      </c>
      <c r="K46" s="92">
        <v>0.21863799283154123</v>
      </c>
      <c r="L46" s="92">
        <v>3.4294773027608652E-2</v>
      </c>
      <c r="M46" s="92">
        <v>0.21863799283154123</v>
      </c>
      <c r="N46" s="92">
        <v>3.4294773027608652E-2</v>
      </c>
    </row>
    <row r="47" spans="2:14" x14ac:dyDescent="0.2">
      <c r="B47" s="93" t="s">
        <v>658</v>
      </c>
      <c r="C47" s="94">
        <v>0.20224719101123592</v>
      </c>
      <c r="D47" s="94">
        <v>3.1541872239453032E-2</v>
      </c>
      <c r="E47" s="94">
        <v>0.20390070921985815</v>
      </c>
      <c r="F47" s="94">
        <v>3.3251367132723364E-2</v>
      </c>
      <c r="G47" s="94">
        <v>0.21478873239436619</v>
      </c>
      <c r="H47" s="94">
        <v>3.3773876617371169E-2</v>
      </c>
      <c r="I47" s="94">
        <v>0.19961240310077519</v>
      </c>
      <c r="J47" s="94">
        <v>3.2871978186037924E-2</v>
      </c>
      <c r="K47" s="94">
        <v>0.19534050179211471</v>
      </c>
      <c r="L47" s="94">
        <v>3.2895856041023866E-2</v>
      </c>
      <c r="M47" s="94">
        <v>0.19534050179211471</v>
      </c>
      <c r="N47" s="94">
        <v>3.2895856041023866E-2</v>
      </c>
    </row>
    <row r="48" spans="2:14" x14ac:dyDescent="0.2">
      <c r="B48" s="91" t="s">
        <v>659</v>
      </c>
      <c r="C48" s="92">
        <v>0.15890850722311398</v>
      </c>
      <c r="D48" s="92">
        <v>2.8708284546590638E-2</v>
      </c>
      <c r="E48" s="92">
        <v>0.1773049645390071</v>
      </c>
      <c r="F48" s="92">
        <v>3.1520740069761487E-2</v>
      </c>
      <c r="G48" s="92">
        <v>0.20070422535211269</v>
      </c>
      <c r="H48" s="92">
        <v>3.293926619098872E-2</v>
      </c>
      <c r="I48" s="92">
        <v>0.1744186046511628</v>
      </c>
      <c r="J48" s="92">
        <v>3.1207448043899001E-2</v>
      </c>
      <c r="K48" s="92">
        <v>0.1863799283154122</v>
      </c>
      <c r="L48" s="92">
        <v>3.2310923349231337E-2</v>
      </c>
      <c r="M48" s="92">
        <v>0.1863799283154122</v>
      </c>
      <c r="N48" s="92">
        <v>3.2310923349231337E-2</v>
      </c>
    </row>
    <row r="49" spans="2:14" x14ac:dyDescent="0.2">
      <c r="B49" s="93" t="s">
        <v>640</v>
      </c>
      <c r="C49" s="94">
        <v>0.1332263242375602</v>
      </c>
      <c r="D49" s="94">
        <v>2.66845527080425E-2</v>
      </c>
      <c r="E49" s="94">
        <v>0.11170212765957446</v>
      </c>
      <c r="F49" s="94">
        <v>2.5997198668972415E-2</v>
      </c>
      <c r="G49" s="94">
        <v>0.12323943661971831</v>
      </c>
      <c r="H49" s="94">
        <v>2.7033187657217836E-2</v>
      </c>
      <c r="I49" s="94">
        <v>0.11046511627906977</v>
      </c>
      <c r="J49" s="94">
        <v>2.5779588008444102E-2</v>
      </c>
      <c r="K49" s="94">
        <v>0.15232974910394265</v>
      </c>
      <c r="L49" s="94">
        <v>2.9815686008366361E-2</v>
      </c>
      <c r="M49" s="94">
        <v>0.15232974910394265</v>
      </c>
      <c r="N49" s="94">
        <v>2.9815686008366361E-2</v>
      </c>
    </row>
    <row r="50" spans="2:14" x14ac:dyDescent="0.2">
      <c r="B50" s="91" t="s">
        <v>638</v>
      </c>
      <c r="C50" s="92">
        <v>5.9390048154093107E-2</v>
      </c>
      <c r="D50" s="92">
        <v>1.8559816216002716E-2</v>
      </c>
      <c r="E50" s="92">
        <v>6.9148936170212769E-2</v>
      </c>
      <c r="F50" s="92">
        <v>2.0938683415767628E-2</v>
      </c>
      <c r="G50" s="92">
        <v>8.4507042253521125E-2</v>
      </c>
      <c r="H50" s="92">
        <v>2.2874723768267449E-2</v>
      </c>
      <c r="I50" s="92">
        <v>9.3023255813953487E-2</v>
      </c>
      <c r="J50" s="92">
        <v>2.3887777603716055E-2</v>
      </c>
      <c r="K50" s="92">
        <v>9.1397849462365593E-2</v>
      </c>
      <c r="L50" s="92">
        <v>2.3910785344979601E-2</v>
      </c>
      <c r="M50" s="92">
        <v>9.1397849462365593E-2</v>
      </c>
      <c r="N50" s="92">
        <v>2.3910785344979601E-2</v>
      </c>
    </row>
    <row r="51" spans="2:14" x14ac:dyDescent="0.2">
      <c r="B51" s="93" t="s">
        <v>642</v>
      </c>
      <c r="C51" s="94">
        <v>1.2841091492776886E-2</v>
      </c>
      <c r="D51" s="94">
        <v>8.8411050879588886E-3</v>
      </c>
      <c r="E51" s="94">
        <v>1.2411347517730497E-2</v>
      </c>
      <c r="F51" s="94">
        <v>9.1372189749614786E-3</v>
      </c>
      <c r="G51" s="94">
        <v>8.8028169014084511E-3</v>
      </c>
      <c r="H51" s="94">
        <v>7.6819728403832417E-3</v>
      </c>
      <c r="I51" s="94">
        <v>7.7519379844961239E-3</v>
      </c>
      <c r="J51" s="94">
        <v>7.2126885273176818E-3</v>
      </c>
      <c r="K51" s="94">
        <v>7.1684587813620072E-3</v>
      </c>
      <c r="L51" s="94">
        <v>6.999864786022025E-3</v>
      </c>
      <c r="M51" s="94">
        <v>7.1684587813620072E-3</v>
      </c>
      <c r="N51" s="94">
        <v>6.999864786022025E-3</v>
      </c>
    </row>
    <row r="52" spans="2:14" x14ac:dyDescent="0.2">
      <c r="B52" s="91" t="s">
        <v>643</v>
      </c>
      <c r="C52" s="92">
        <v>5.2969502407704656E-2</v>
      </c>
      <c r="D52" s="92">
        <v>1.7587616091706896E-2</v>
      </c>
      <c r="E52" s="92">
        <v>6.2056737588652482E-2</v>
      </c>
      <c r="F52" s="92">
        <v>1.9911284307603524E-2</v>
      </c>
      <c r="G52" s="92">
        <v>4.7535211267605633E-2</v>
      </c>
      <c r="H52" s="92">
        <v>1.7499034300324526E-2</v>
      </c>
      <c r="I52" s="92">
        <v>6.3953488372093026E-2</v>
      </c>
      <c r="J52" s="92">
        <v>2.0121610463423152E-2</v>
      </c>
      <c r="K52" s="92">
        <v>6.093189964157706E-2</v>
      </c>
      <c r="L52" s="92">
        <v>1.9847685743778605E-2</v>
      </c>
      <c r="M52" s="92">
        <v>6.093189964157706E-2</v>
      </c>
      <c r="N52" s="92">
        <v>1.9847685743778605E-2</v>
      </c>
    </row>
    <row r="53" spans="2:14" x14ac:dyDescent="0.2">
      <c r="B53" s="93" t="s">
        <v>660</v>
      </c>
      <c r="C53" s="94">
        <v>3.3707865168539325E-2</v>
      </c>
      <c r="D53" s="94">
        <v>1.4172024497120765E-2</v>
      </c>
      <c r="E53" s="94">
        <v>3.5460992907801421E-2</v>
      </c>
      <c r="F53" s="94">
        <v>1.5263420291562054E-2</v>
      </c>
      <c r="G53" s="94">
        <v>4.0492957746478875E-2</v>
      </c>
      <c r="H53" s="94">
        <v>1.6210474857693506E-2</v>
      </c>
      <c r="I53" s="94">
        <v>4.4573643410852716E-2</v>
      </c>
      <c r="J53" s="94">
        <v>1.6971474640351019E-2</v>
      </c>
      <c r="K53" s="94">
        <v>6.2724014336917558E-2</v>
      </c>
      <c r="L53" s="94">
        <v>2.0118224009496186E-2</v>
      </c>
      <c r="M53" s="94">
        <v>6.2724014336917558E-2</v>
      </c>
      <c r="N53" s="94">
        <v>2.0118224009496186E-2</v>
      </c>
    </row>
    <row r="55" spans="2:14" x14ac:dyDescent="0.2">
      <c r="B55" s="97" t="s">
        <v>646</v>
      </c>
    </row>
    <row r="57" spans="2:14" ht="15" x14ac:dyDescent="0.2">
      <c r="B57" s="73" t="s">
        <v>610</v>
      </c>
    </row>
  </sheetData>
  <mergeCells count="7">
    <mergeCell ref="M36:N36"/>
    <mergeCell ref="C7:H7"/>
    <mergeCell ref="C36:D36"/>
    <mergeCell ref="E36:F36"/>
    <mergeCell ref="G36:H36"/>
    <mergeCell ref="I36:J36"/>
    <mergeCell ref="K36:L36"/>
  </mergeCells>
  <hyperlinks>
    <hyperlink ref="B30" location="Contents!A1" tooltip="Contents Page" display="Return to Contents Page" xr:uid="{B71A48F4-12DA-44FA-9BC9-A27D2518BDE9}"/>
    <hyperlink ref="B57" location="Contents!A1" tooltip="Contents Page" display="Return to Contents Page" xr:uid="{B728B152-2383-4A39-8E4E-5B3AD210C116}"/>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0"/>
  <sheetViews>
    <sheetView showGridLines="0" workbookViewId="0"/>
  </sheetViews>
  <sheetFormatPr defaultColWidth="11" defaultRowHeight="14.25" x14ac:dyDescent="0.2"/>
  <cols>
    <col min="2" max="2" width="89.25" customWidth="1"/>
    <col min="3" max="3" width="10.5" customWidth="1"/>
    <col min="4" max="4" width="12" customWidth="1"/>
    <col min="8" max="8" width="11.375" customWidth="1"/>
    <col min="9" max="9" width="6.25" customWidth="1"/>
    <col min="10" max="12" width="9.125" customWidth="1"/>
  </cols>
  <sheetData>
    <row r="1" spans="2:12" x14ac:dyDescent="0.2">
      <c r="B1" t="s">
        <v>4</v>
      </c>
    </row>
    <row r="2" spans="2:12" ht="15" x14ac:dyDescent="0.25">
      <c r="B2" s="6" t="s">
        <v>5</v>
      </c>
    </row>
    <row r="4" spans="2:12" ht="4.5" customHeight="1" x14ac:dyDescent="0.2"/>
    <row r="5" spans="2:12" ht="15" x14ac:dyDescent="0.25">
      <c r="B5" s="10"/>
      <c r="C5" s="10"/>
      <c r="D5" s="10"/>
      <c r="E5" s="10"/>
      <c r="F5" s="10"/>
      <c r="G5" s="10"/>
      <c r="H5" s="221" t="s">
        <v>186</v>
      </c>
      <c r="I5" s="221"/>
      <c r="J5" s="221" t="s">
        <v>187</v>
      </c>
      <c r="K5" s="221"/>
      <c r="L5" s="221"/>
    </row>
    <row r="6" spans="2:12" ht="75" customHeight="1" x14ac:dyDescent="0.25">
      <c r="B6" s="10" t="s">
        <v>183</v>
      </c>
      <c r="C6" s="10" t="s">
        <v>184</v>
      </c>
      <c r="D6" s="10" t="s">
        <v>185</v>
      </c>
      <c r="E6" s="10">
        <v>2022</v>
      </c>
      <c r="F6" s="10">
        <v>2023</v>
      </c>
      <c r="G6" s="10">
        <v>2024</v>
      </c>
      <c r="H6" s="221"/>
      <c r="I6" s="221"/>
      <c r="J6" s="10" t="s">
        <v>188</v>
      </c>
      <c r="K6" s="221" t="s">
        <v>189</v>
      </c>
      <c r="L6" s="221"/>
    </row>
    <row r="7" spans="2:12" x14ac:dyDescent="0.2">
      <c r="B7" t="s">
        <v>7</v>
      </c>
      <c r="C7" s="7">
        <v>35</v>
      </c>
      <c r="D7" s="7">
        <v>67.8</v>
      </c>
      <c r="E7" s="7">
        <v>55</v>
      </c>
      <c r="F7" s="7">
        <v>71</v>
      </c>
      <c r="G7" s="7">
        <v>69</v>
      </c>
      <c r="H7" s="8">
        <f>(G7-F7)/F7</f>
        <v>-2.8169014084507043E-2</v>
      </c>
      <c r="I7" s="27" t="str">
        <f>IF(G7&gt;F7,"é",IF(G7&lt;F7,"ê","è"))</f>
        <v>ê</v>
      </c>
      <c r="J7" s="7">
        <v>60.2</v>
      </c>
      <c r="K7" s="8">
        <f>(J7-D7)/D7</f>
        <v>-0.1120943952802359</v>
      </c>
      <c r="L7" s="27" t="str">
        <f>IF(J7&gt;D7,"é",IF(J7&lt;D7,"ê","è"))</f>
        <v>ê</v>
      </c>
    </row>
    <row r="8" spans="2:12" x14ac:dyDescent="0.2">
      <c r="B8" s="4" t="s">
        <v>190</v>
      </c>
      <c r="C8" s="11">
        <v>376</v>
      </c>
      <c r="D8" s="11">
        <v>751.4</v>
      </c>
      <c r="E8" s="11">
        <v>910</v>
      </c>
      <c r="F8" s="11">
        <v>880</v>
      </c>
      <c r="G8" s="11">
        <v>939</v>
      </c>
      <c r="H8" s="12">
        <f>(G8-F8)/F8</f>
        <v>6.7045454545454547E-2</v>
      </c>
      <c r="I8" s="29" t="str">
        <f t="shared" ref="I8:I10" si="0">IF(G8&gt;F8,"é",IF(G8&lt;F8,"ê","è"))</f>
        <v>é</v>
      </c>
      <c r="J8" s="11">
        <v>826.8</v>
      </c>
      <c r="K8" s="12">
        <f>(J8-D8)/D8</f>
        <v>0.10034602076124564</v>
      </c>
      <c r="L8" s="29" t="str">
        <f t="shared" ref="L8:L10" si="1">IF(J8&gt;D8,"é",IF(J8&lt;D8,"ê","è"))</f>
        <v>é</v>
      </c>
    </row>
    <row r="9" spans="2:12" x14ac:dyDescent="0.2">
      <c r="B9" t="s">
        <v>11</v>
      </c>
      <c r="C9" s="7">
        <v>29</v>
      </c>
      <c r="D9" s="7">
        <v>71</v>
      </c>
      <c r="E9" s="7">
        <v>92</v>
      </c>
      <c r="F9" s="7">
        <v>83</v>
      </c>
      <c r="G9" s="7">
        <v>93</v>
      </c>
      <c r="H9" s="8">
        <f>(G9-F9)/F9</f>
        <v>0.12048192771084337</v>
      </c>
      <c r="I9" s="26" t="str">
        <f t="shared" si="0"/>
        <v>é</v>
      </c>
      <c r="J9" s="7">
        <v>80.599999999999994</v>
      </c>
      <c r="K9" s="8">
        <f>(J9-D9)/D9</f>
        <v>0.13521126760563373</v>
      </c>
      <c r="L9" s="26" t="str">
        <f t="shared" si="1"/>
        <v>é</v>
      </c>
    </row>
    <row r="10" spans="2:12" x14ac:dyDescent="0.2">
      <c r="B10" s="4" t="s">
        <v>13</v>
      </c>
      <c r="C10" s="11">
        <v>79</v>
      </c>
      <c r="D10" s="11">
        <v>196.4</v>
      </c>
      <c r="E10" s="11">
        <v>196</v>
      </c>
      <c r="F10" s="11">
        <v>192</v>
      </c>
      <c r="G10" s="11">
        <v>207</v>
      </c>
      <c r="H10" s="12">
        <f>(G10-F10)/F10</f>
        <v>7.8125E-2</v>
      </c>
      <c r="I10" s="29" t="str">
        <f t="shared" si="0"/>
        <v>é</v>
      </c>
      <c r="J10" s="11">
        <v>180.6</v>
      </c>
      <c r="K10" s="12">
        <f>(J10-D10)/D10</f>
        <v>-8.0448065173116146E-2</v>
      </c>
      <c r="L10" s="28" t="str">
        <f t="shared" si="1"/>
        <v>ê</v>
      </c>
    </row>
    <row r="12" spans="2:12" x14ac:dyDescent="0.2">
      <c r="B12" s="9" t="s">
        <v>191</v>
      </c>
    </row>
    <row r="13" spans="2:12" x14ac:dyDescent="0.2">
      <c r="B13" s="9" t="s">
        <v>192</v>
      </c>
    </row>
    <row r="14" spans="2:12" ht="5.25" customHeight="1" x14ac:dyDescent="0.2">
      <c r="B14" s="9"/>
    </row>
    <row r="15" spans="2:12" x14ac:dyDescent="0.2">
      <c r="B15" s="9" t="s">
        <v>193</v>
      </c>
    </row>
    <row r="20" spans="2:2" x14ac:dyDescent="0.2">
      <c r="B20" s="1" t="str">
        <f>HYPERLINK("#'Contents'!A1", "Return to Contents Page")</f>
        <v>Return to Contents Page</v>
      </c>
    </row>
  </sheetData>
  <mergeCells count="3">
    <mergeCell ref="H5:I6"/>
    <mergeCell ref="J5:L5"/>
    <mergeCell ref="K6:L6"/>
  </mergeCells>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L50"/>
  <sheetViews>
    <sheetView showGridLines="0" workbookViewId="0"/>
  </sheetViews>
  <sheetFormatPr defaultColWidth="11" defaultRowHeight="14.25" x14ac:dyDescent="0.2"/>
  <cols>
    <col min="4" max="5" width="13.75" customWidth="1"/>
  </cols>
  <sheetData>
    <row r="1" spans="2:8" ht="15" x14ac:dyDescent="0.25">
      <c r="B1" s="6" t="s">
        <v>476</v>
      </c>
    </row>
    <row r="3" spans="2:8" x14ac:dyDescent="0.2">
      <c r="B3" t="s">
        <v>133</v>
      </c>
    </row>
    <row r="4" spans="2:8" ht="30" customHeight="1" x14ac:dyDescent="0.25">
      <c r="B4" s="222" t="s">
        <v>134</v>
      </c>
      <c r="C4" s="223"/>
      <c r="D4" s="223"/>
      <c r="E4" s="223"/>
      <c r="F4" s="223"/>
      <c r="H4" s="6" t="s">
        <v>480</v>
      </c>
    </row>
    <row r="5" spans="2:8" x14ac:dyDescent="0.2">
      <c r="B5" t="s">
        <v>196</v>
      </c>
    </row>
    <row r="7" spans="2:8" ht="30.75" thickBot="1" x14ac:dyDescent="0.3">
      <c r="B7" s="110" t="s">
        <v>197</v>
      </c>
      <c r="C7" s="111" t="s">
        <v>477</v>
      </c>
      <c r="D7" s="111" t="s">
        <v>478</v>
      </c>
      <c r="E7" s="111" t="s">
        <v>479</v>
      </c>
    </row>
    <row r="8" spans="2:8" ht="15" thickTop="1" x14ac:dyDescent="0.2">
      <c r="B8" s="112">
        <v>2014</v>
      </c>
      <c r="C8" s="113">
        <v>42</v>
      </c>
      <c r="D8" s="113">
        <v>12</v>
      </c>
      <c r="E8" s="118">
        <v>0.28571428571428598</v>
      </c>
    </row>
    <row r="9" spans="2:8" x14ac:dyDescent="0.2">
      <c r="B9" s="114">
        <v>2015</v>
      </c>
      <c r="C9" s="115">
        <v>27</v>
      </c>
      <c r="D9" s="115">
        <v>13</v>
      </c>
      <c r="E9" s="119">
        <v>0.48148148148148101</v>
      </c>
    </row>
    <row r="10" spans="2:8" x14ac:dyDescent="0.2">
      <c r="B10" s="116">
        <v>2016</v>
      </c>
      <c r="C10" s="117">
        <v>28</v>
      </c>
      <c r="D10" s="117">
        <v>12</v>
      </c>
      <c r="E10" s="120">
        <v>0.42857142857142899</v>
      </c>
    </row>
    <row r="11" spans="2:8" x14ac:dyDescent="0.2">
      <c r="B11" s="114">
        <v>2017</v>
      </c>
      <c r="C11" s="115">
        <v>30</v>
      </c>
      <c r="D11" s="115">
        <v>15</v>
      </c>
      <c r="E11" s="119">
        <v>0.5</v>
      </c>
    </row>
    <row r="12" spans="2:8" x14ac:dyDescent="0.2">
      <c r="B12" s="116">
        <v>2018</v>
      </c>
      <c r="C12" s="117">
        <v>34</v>
      </c>
      <c r="D12" s="117">
        <v>13</v>
      </c>
      <c r="E12" s="120">
        <v>0.38235294117647101</v>
      </c>
    </row>
    <row r="13" spans="2:8" x14ac:dyDescent="0.2">
      <c r="B13" s="114">
        <v>2019</v>
      </c>
      <c r="C13" s="115">
        <v>32</v>
      </c>
      <c r="D13" s="115">
        <v>4</v>
      </c>
      <c r="E13" s="119">
        <v>0.125</v>
      </c>
    </row>
    <row r="14" spans="2:8" x14ac:dyDescent="0.2">
      <c r="B14" s="116">
        <v>2020</v>
      </c>
      <c r="C14" s="117">
        <v>34</v>
      </c>
      <c r="D14" s="117">
        <v>14</v>
      </c>
      <c r="E14" s="120">
        <v>0.41176470588235298</v>
      </c>
    </row>
    <row r="15" spans="2:8" x14ac:dyDescent="0.2">
      <c r="B15" s="114">
        <v>2021</v>
      </c>
      <c r="C15" s="115">
        <v>44</v>
      </c>
      <c r="D15" s="115">
        <v>13</v>
      </c>
      <c r="E15" s="119">
        <v>0.29545454545454503</v>
      </c>
    </row>
    <row r="16" spans="2:8" x14ac:dyDescent="0.2">
      <c r="B16" s="116">
        <v>2022</v>
      </c>
      <c r="C16" s="117">
        <v>57</v>
      </c>
      <c r="D16" s="117">
        <v>21</v>
      </c>
      <c r="E16" s="120">
        <v>0.36842105263157898</v>
      </c>
    </row>
    <row r="17" spans="2:12" x14ac:dyDescent="0.2">
      <c r="B17" s="114">
        <v>2023</v>
      </c>
      <c r="C17" s="115">
        <v>46</v>
      </c>
      <c r="D17" s="115">
        <v>14</v>
      </c>
      <c r="E17" s="119">
        <v>0.30434782608695699</v>
      </c>
    </row>
    <row r="18" spans="2:12" x14ac:dyDescent="0.2">
      <c r="B18" s="116">
        <v>2024</v>
      </c>
      <c r="C18" s="117">
        <v>44</v>
      </c>
      <c r="D18" s="117">
        <v>6</v>
      </c>
      <c r="E18" s="120">
        <v>0.13636363636363599</v>
      </c>
    </row>
    <row r="19" spans="2:12" ht="30" customHeight="1" x14ac:dyDescent="0.25">
      <c r="B19" s="121" t="s">
        <v>202</v>
      </c>
      <c r="C19" s="122">
        <v>32.200000000000003</v>
      </c>
      <c r="D19" s="122">
        <v>13</v>
      </c>
      <c r="E19" s="24">
        <v>0.40372670807453398</v>
      </c>
    </row>
    <row r="21" spans="2:12" ht="27.6" customHeight="1" x14ac:dyDescent="0.2">
      <c r="B21" s="230" t="s">
        <v>481</v>
      </c>
      <c r="C21" s="223"/>
      <c r="D21" s="223"/>
      <c r="E21" s="223"/>
      <c r="F21" s="223"/>
    </row>
    <row r="23" spans="2:12" x14ac:dyDescent="0.2">
      <c r="B23" s="1" t="str">
        <f>HYPERLINK("#'Contents'!A1", "Return to Contents Page")</f>
        <v>Return to Contents Page</v>
      </c>
    </row>
    <row r="26" spans="2:12" ht="15" x14ac:dyDescent="0.25">
      <c r="B26" s="6" t="s">
        <v>135</v>
      </c>
    </row>
    <row r="27" spans="2:12" ht="30" customHeight="1" x14ac:dyDescent="0.25">
      <c r="B27" s="222" t="s">
        <v>482</v>
      </c>
      <c r="C27" s="223"/>
      <c r="D27" s="223"/>
      <c r="E27" s="223"/>
      <c r="H27" s="222" t="s">
        <v>483</v>
      </c>
      <c r="I27" s="223"/>
      <c r="J27" s="223"/>
      <c r="K27" s="223"/>
      <c r="L27" s="223"/>
    </row>
    <row r="28" spans="2:12" ht="15" x14ac:dyDescent="0.25">
      <c r="B28" s="6" t="s">
        <v>196</v>
      </c>
    </row>
    <row r="30" spans="2:12" ht="30.75" thickBot="1" x14ac:dyDescent="0.3">
      <c r="B30" s="110" t="s">
        <v>197</v>
      </c>
      <c r="C30" s="111" t="s">
        <v>477</v>
      </c>
      <c r="D30" s="111" t="s">
        <v>478</v>
      </c>
      <c r="E30" s="111" t="s">
        <v>479</v>
      </c>
    </row>
    <row r="31" spans="2:12" ht="15" thickTop="1" x14ac:dyDescent="0.2">
      <c r="B31" s="124" t="s">
        <v>207</v>
      </c>
      <c r="C31" s="113">
        <v>32.200000000000003</v>
      </c>
      <c r="D31" s="113">
        <v>13</v>
      </c>
      <c r="E31" s="118">
        <v>0.40372670807453398</v>
      </c>
    </row>
    <row r="32" spans="2:12" x14ac:dyDescent="0.2">
      <c r="B32" s="125" t="s">
        <v>208</v>
      </c>
      <c r="C32" s="115">
        <v>30.2</v>
      </c>
      <c r="D32" s="115">
        <v>11.4</v>
      </c>
      <c r="E32" s="119">
        <v>0.37748344370860898</v>
      </c>
    </row>
    <row r="33" spans="2:6" x14ac:dyDescent="0.2">
      <c r="B33" s="126" t="s">
        <v>209</v>
      </c>
      <c r="C33" s="117">
        <v>31.6</v>
      </c>
      <c r="D33" s="117">
        <v>11.6</v>
      </c>
      <c r="E33" s="120">
        <v>0.367088607594937</v>
      </c>
    </row>
    <row r="34" spans="2:6" x14ac:dyDescent="0.2">
      <c r="B34" s="125" t="s">
        <v>210</v>
      </c>
      <c r="C34" s="115">
        <v>34.799999999999997</v>
      </c>
      <c r="D34" s="115">
        <v>11.8</v>
      </c>
      <c r="E34" s="119">
        <v>0.33908045977011497</v>
      </c>
    </row>
    <row r="35" spans="2:6" x14ac:dyDescent="0.2">
      <c r="B35" s="126" t="s">
        <v>211</v>
      </c>
      <c r="C35" s="117">
        <v>40.200000000000003</v>
      </c>
      <c r="D35" s="117">
        <v>13</v>
      </c>
      <c r="E35" s="120">
        <v>0.32338308457711401</v>
      </c>
    </row>
    <row r="36" spans="2:6" x14ac:dyDescent="0.2">
      <c r="B36" s="125" t="s">
        <v>212</v>
      </c>
      <c r="C36" s="115">
        <v>42.6</v>
      </c>
      <c r="D36" s="115">
        <v>13.2</v>
      </c>
      <c r="E36" s="119">
        <v>0.309859154929577</v>
      </c>
    </row>
    <row r="37" spans="2:6" x14ac:dyDescent="0.2">
      <c r="B37" s="126" t="s">
        <v>213</v>
      </c>
      <c r="C37" s="117">
        <v>45</v>
      </c>
      <c r="D37" s="117">
        <v>13.6</v>
      </c>
      <c r="E37" s="120">
        <v>0.302222222222222</v>
      </c>
    </row>
    <row r="38" spans="2:6" ht="30" x14ac:dyDescent="0.25">
      <c r="B38" s="121" t="s">
        <v>214</v>
      </c>
      <c r="C38" s="122">
        <v>32.200000000000003</v>
      </c>
      <c r="D38" s="122">
        <v>13</v>
      </c>
      <c r="E38" s="24">
        <v>0.40372670807453398</v>
      </c>
    </row>
    <row r="39" spans="2:6" x14ac:dyDescent="0.2">
      <c r="C39" s="7"/>
      <c r="D39" s="7"/>
      <c r="E39" s="8"/>
    </row>
    <row r="40" spans="2:6" ht="27" customHeight="1" x14ac:dyDescent="0.2">
      <c r="B40" s="230" t="s">
        <v>481</v>
      </c>
      <c r="C40" s="227"/>
      <c r="D40" s="227"/>
      <c r="E40" s="229"/>
      <c r="F40" s="223"/>
    </row>
    <row r="41" spans="2:6" x14ac:dyDescent="0.2">
      <c r="C41" s="7"/>
      <c r="D41" s="7"/>
      <c r="E41" s="8"/>
    </row>
    <row r="42" spans="2:6" x14ac:dyDescent="0.2">
      <c r="C42" s="7"/>
      <c r="D42" s="7"/>
      <c r="E42" s="8"/>
    </row>
    <row r="43" spans="2:6" x14ac:dyDescent="0.2">
      <c r="C43" s="7"/>
      <c r="D43" s="7"/>
      <c r="E43" s="8"/>
    </row>
    <row r="44" spans="2:6" x14ac:dyDescent="0.2">
      <c r="B44" s="1" t="str">
        <f>HYPERLINK("#'Contents'!A1", "Return to Contents Page")</f>
        <v>Return to Contents Page</v>
      </c>
      <c r="C44" s="7"/>
      <c r="D44" s="7"/>
      <c r="E44" s="8"/>
    </row>
    <row r="45" spans="2:6" x14ac:dyDescent="0.2">
      <c r="C45" s="7"/>
      <c r="D45" s="7"/>
      <c r="E45" s="8"/>
    </row>
    <row r="46" spans="2:6" x14ac:dyDescent="0.2">
      <c r="C46" s="7"/>
      <c r="D46" s="7"/>
      <c r="E46" s="8"/>
    </row>
    <row r="47" spans="2:6" x14ac:dyDescent="0.2">
      <c r="C47" s="7"/>
      <c r="D47" s="7"/>
      <c r="E47" s="8"/>
    </row>
    <row r="48" spans="2:6" x14ac:dyDescent="0.2">
      <c r="C48" s="7"/>
      <c r="D48" s="7"/>
      <c r="E48" s="8"/>
    </row>
    <row r="49" spans="3:5" x14ac:dyDescent="0.2">
      <c r="C49" s="7"/>
      <c r="D49" s="7"/>
      <c r="E49" s="8"/>
    </row>
    <row r="50" spans="3:5" x14ac:dyDescent="0.2">
      <c r="C50" s="7"/>
      <c r="D50" s="7"/>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50"/>
  <sheetViews>
    <sheetView showGridLines="0" workbookViewId="0"/>
  </sheetViews>
  <sheetFormatPr defaultColWidth="11" defaultRowHeight="14.25" x14ac:dyDescent="0.2"/>
  <cols>
    <col min="4" max="5" width="13.75" customWidth="1"/>
  </cols>
  <sheetData>
    <row r="1" spans="2:8" ht="15" x14ac:dyDescent="0.25">
      <c r="B1" s="6" t="s">
        <v>484</v>
      </c>
    </row>
    <row r="3" spans="2:8" x14ac:dyDescent="0.2">
      <c r="B3" t="s">
        <v>137</v>
      </c>
    </row>
    <row r="4" spans="2:8" ht="15" x14ac:dyDescent="0.25">
      <c r="B4" s="222" t="s">
        <v>138</v>
      </c>
      <c r="C4" s="223"/>
      <c r="D4" s="223"/>
      <c r="E4" s="223"/>
      <c r="F4" s="223"/>
      <c r="H4" s="6" t="s">
        <v>485</v>
      </c>
    </row>
    <row r="5" spans="2:8" x14ac:dyDescent="0.2">
      <c r="B5" t="s">
        <v>196</v>
      </c>
    </row>
    <row r="7" spans="2:8" ht="30.75" thickBot="1" x14ac:dyDescent="0.3">
      <c r="B7" s="110" t="s">
        <v>197</v>
      </c>
      <c r="C7" s="111" t="s">
        <v>477</v>
      </c>
      <c r="D7" s="111" t="s">
        <v>478</v>
      </c>
      <c r="E7" s="111" t="s">
        <v>479</v>
      </c>
    </row>
    <row r="8" spans="2:8" ht="15" thickTop="1" x14ac:dyDescent="0.2">
      <c r="B8" s="112">
        <v>2014</v>
      </c>
      <c r="C8" s="113">
        <v>53</v>
      </c>
      <c r="D8" s="113">
        <v>20</v>
      </c>
      <c r="E8" s="118">
        <v>0.37735849056603799</v>
      </c>
    </row>
    <row r="9" spans="2:8" x14ac:dyDescent="0.2">
      <c r="B9" s="114">
        <v>2015</v>
      </c>
      <c r="C9" s="115">
        <v>75</v>
      </c>
      <c r="D9" s="115">
        <v>31</v>
      </c>
      <c r="E9" s="119">
        <v>0.413333333333333</v>
      </c>
    </row>
    <row r="10" spans="2:8" x14ac:dyDescent="0.2">
      <c r="B10" s="116">
        <v>2016</v>
      </c>
      <c r="C10" s="117">
        <v>94</v>
      </c>
      <c r="D10" s="117">
        <v>37</v>
      </c>
      <c r="E10" s="120">
        <v>0.39361702127659598</v>
      </c>
    </row>
    <row r="11" spans="2:8" x14ac:dyDescent="0.2">
      <c r="B11" s="114">
        <v>2017</v>
      </c>
      <c r="C11" s="115">
        <v>66</v>
      </c>
      <c r="D11" s="115">
        <v>29</v>
      </c>
      <c r="E11" s="119">
        <v>0.439393939393939</v>
      </c>
    </row>
    <row r="12" spans="2:8" x14ac:dyDescent="0.2">
      <c r="B12" s="116">
        <v>2018</v>
      </c>
      <c r="C12" s="117">
        <v>60</v>
      </c>
      <c r="D12" s="117">
        <v>27</v>
      </c>
      <c r="E12" s="120">
        <v>0.45</v>
      </c>
    </row>
    <row r="13" spans="2:8" x14ac:dyDescent="0.2">
      <c r="B13" s="114">
        <v>2019</v>
      </c>
      <c r="C13" s="115">
        <v>85</v>
      </c>
      <c r="D13" s="115">
        <v>38</v>
      </c>
      <c r="E13" s="119">
        <v>0.44705882352941201</v>
      </c>
    </row>
    <row r="14" spans="2:8" x14ac:dyDescent="0.2">
      <c r="B14" s="116">
        <v>2020</v>
      </c>
      <c r="C14" s="117">
        <v>60</v>
      </c>
      <c r="D14" s="117">
        <v>22</v>
      </c>
      <c r="E14" s="120">
        <v>0.36666666666666697</v>
      </c>
    </row>
    <row r="15" spans="2:8" x14ac:dyDescent="0.2">
      <c r="B15" s="114">
        <v>2021</v>
      </c>
      <c r="C15" s="115">
        <v>104</v>
      </c>
      <c r="D15" s="115">
        <v>38</v>
      </c>
      <c r="E15" s="119">
        <v>0.36538461538461497</v>
      </c>
    </row>
    <row r="16" spans="2:8" x14ac:dyDescent="0.2">
      <c r="B16" s="116">
        <v>2022</v>
      </c>
      <c r="C16" s="117">
        <v>99</v>
      </c>
      <c r="D16" s="117">
        <v>42</v>
      </c>
      <c r="E16" s="120">
        <v>0.42424242424242398</v>
      </c>
    </row>
    <row r="17" spans="2:12" x14ac:dyDescent="0.2">
      <c r="B17" s="114">
        <v>2023</v>
      </c>
      <c r="C17" s="115">
        <v>95</v>
      </c>
      <c r="D17" s="115">
        <v>48</v>
      </c>
      <c r="E17" s="119">
        <v>0.50526315789473697</v>
      </c>
    </row>
    <row r="18" spans="2:12" x14ac:dyDescent="0.2">
      <c r="B18" s="116">
        <v>2024</v>
      </c>
      <c r="C18" s="117">
        <v>121</v>
      </c>
      <c r="D18" s="117">
        <v>44</v>
      </c>
      <c r="E18" s="120">
        <v>0.36363636363636398</v>
      </c>
    </row>
    <row r="19" spans="2:12" ht="30" customHeight="1" x14ac:dyDescent="0.25">
      <c r="B19" s="121" t="s">
        <v>202</v>
      </c>
      <c r="C19" s="122">
        <v>69.599999999999994</v>
      </c>
      <c r="D19" s="122">
        <v>28.8</v>
      </c>
      <c r="E19" s="24">
        <v>0.41379310344827602</v>
      </c>
    </row>
    <row r="21" spans="2:12" ht="22.5" customHeight="1" x14ac:dyDescent="0.2">
      <c r="B21" s="230" t="s">
        <v>486</v>
      </c>
      <c r="C21" s="223"/>
      <c r="D21" s="223"/>
      <c r="E21" s="223"/>
      <c r="F21" s="223"/>
    </row>
    <row r="23" spans="2:12" x14ac:dyDescent="0.2">
      <c r="B23" s="1" t="str">
        <f>HYPERLINK("#'Contents'!A1", "Return to Contents Page")</f>
        <v>Return to Contents Page</v>
      </c>
    </row>
    <row r="26" spans="2:12" ht="15" x14ac:dyDescent="0.25">
      <c r="B26" s="6" t="s">
        <v>139</v>
      </c>
    </row>
    <row r="27" spans="2:12" ht="30" customHeight="1" x14ac:dyDescent="0.25">
      <c r="B27" s="222" t="s">
        <v>140</v>
      </c>
      <c r="C27" s="223"/>
      <c r="D27" s="223"/>
      <c r="E27" s="223"/>
      <c r="H27" s="222" t="s">
        <v>487</v>
      </c>
      <c r="I27" s="223"/>
      <c r="J27" s="223"/>
      <c r="K27" s="223"/>
      <c r="L27" s="223"/>
    </row>
    <row r="28" spans="2:12" ht="15" x14ac:dyDescent="0.25">
      <c r="B28" s="6" t="s">
        <v>196</v>
      </c>
    </row>
    <row r="30" spans="2:12" ht="30.75" thickBot="1" x14ac:dyDescent="0.3">
      <c r="B30" s="110" t="s">
        <v>197</v>
      </c>
      <c r="C30" s="111" t="s">
        <v>477</v>
      </c>
      <c r="D30" s="111" t="s">
        <v>478</v>
      </c>
      <c r="E30" s="111" t="s">
        <v>479</v>
      </c>
    </row>
    <row r="31" spans="2:12" ht="15" thickTop="1" x14ac:dyDescent="0.2">
      <c r="B31" s="124" t="s">
        <v>207</v>
      </c>
      <c r="C31" s="113">
        <v>69.599999999999994</v>
      </c>
      <c r="D31" s="113">
        <v>28.8</v>
      </c>
      <c r="E31" s="118">
        <v>0.41379310344827602</v>
      </c>
    </row>
    <row r="32" spans="2:12" x14ac:dyDescent="0.2">
      <c r="B32" s="125" t="s">
        <v>208</v>
      </c>
      <c r="C32" s="115">
        <v>76</v>
      </c>
      <c r="D32" s="115">
        <v>32.4</v>
      </c>
      <c r="E32" s="119">
        <v>0.42631578947368398</v>
      </c>
    </row>
    <row r="33" spans="2:6" x14ac:dyDescent="0.2">
      <c r="B33" s="126" t="s">
        <v>209</v>
      </c>
      <c r="C33" s="117">
        <v>73</v>
      </c>
      <c r="D33" s="117">
        <v>30.6</v>
      </c>
      <c r="E33" s="120">
        <v>0.41917808219178099</v>
      </c>
    </row>
    <row r="34" spans="2:6" x14ac:dyDescent="0.2">
      <c r="B34" s="125" t="s">
        <v>210</v>
      </c>
      <c r="C34" s="115">
        <v>75</v>
      </c>
      <c r="D34" s="115">
        <v>30.8</v>
      </c>
      <c r="E34" s="119">
        <v>0.41066666666666701</v>
      </c>
    </row>
    <row r="35" spans="2:6" x14ac:dyDescent="0.2">
      <c r="B35" s="126" t="s">
        <v>211</v>
      </c>
      <c r="C35" s="117">
        <v>81.599999999999994</v>
      </c>
      <c r="D35" s="117">
        <v>33.4</v>
      </c>
      <c r="E35" s="120">
        <v>0.40931372549019601</v>
      </c>
    </row>
    <row r="36" spans="2:6" x14ac:dyDescent="0.2">
      <c r="B36" s="125" t="s">
        <v>212</v>
      </c>
      <c r="C36" s="115">
        <v>88.6</v>
      </c>
      <c r="D36" s="115">
        <v>37.6</v>
      </c>
      <c r="E36" s="119">
        <v>0.42437923250564302</v>
      </c>
    </row>
    <row r="37" spans="2:6" x14ac:dyDescent="0.2">
      <c r="B37" s="126" t="s">
        <v>213</v>
      </c>
      <c r="C37" s="117">
        <v>95.8</v>
      </c>
      <c r="D37" s="117">
        <v>38.799999999999997</v>
      </c>
      <c r="E37" s="120">
        <v>0.40501043841336098</v>
      </c>
    </row>
    <row r="38" spans="2:6" ht="30.75" customHeight="1" x14ac:dyDescent="0.25">
      <c r="B38" s="121" t="s">
        <v>214</v>
      </c>
      <c r="C38" s="122">
        <v>69.599999999999994</v>
      </c>
      <c r="D38" s="122">
        <v>28.8</v>
      </c>
      <c r="E38" s="24">
        <v>0.41379310344827602</v>
      </c>
    </row>
    <row r="39" spans="2:6" x14ac:dyDescent="0.2">
      <c r="C39" s="7"/>
      <c r="D39" s="7"/>
      <c r="E39" s="8"/>
    </row>
    <row r="40" spans="2:6" ht="45" customHeight="1" x14ac:dyDescent="0.2">
      <c r="B40" s="230" t="s">
        <v>486</v>
      </c>
      <c r="C40" s="227"/>
      <c r="D40" s="227"/>
      <c r="E40" s="229"/>
      <c r="F40" s="223"/>
    </row>
    <row r="41" spans="2:6" x14ac:dyDescent="0.2">
      <c r="C41" s="7"/>
      <c r="D41" s="7"/>
      <c r="E41" s="8"/>
    </row>
    <row r="42" spans="2:6" x14ac:dyDescent="0.2">
      <c r="C42" s="7"/>
      <c r="D42" s="7"/>
      <c r="E42" s="8"/>
    </row>
    <row r="43" spans="2:6" x14ac:dyDescent="0.2">
      <c r="C43" s="7"/>
      <c r="D43" s="7"/>
      <c r="E43" s="8"/>
    </row>
    <row r="44" spans="2:6" x14ac:dyDescent="0.2">
      <c r="B44" s="1" t="str">
        <f>HYPERLINK("#'Contents'!A1", "Return to Contents Page")</f>
        <v>Return to Contents Page</v>
      </c>
      <c r="C44" s="7"/>
      <c r="D44" s="7"/>
      <c r="E44" s="8"/>
    </row>
    <row r="45" spans="2:6" x14ac:dyDescent="0.2">
      <c r="C45" s="7"/>
      <c r="D45" s="7"/>
      <c r="E45" s="8"/>
    </row>
    <row r="46" spans="2:6" x14ac:dyDescent="0.2">
      <c r="C46" s="7"/>
      <c r="D46" s="7"/>
      <c r="E46" s="8"/>
    </row>
    <row r="47" spans="2:6" x14ac:dyDescent="0.2">
      <c r="C47" s="7"/>
      <c r="D47" s="7"/>
      <c r="E47" s="8"/>
    </row>
    <row r="48" spans="2:6" x14ac:dyDescent="0.2">
      <c r="C48" s="7"/>
      <c r="D48" s="7"/>
      <c r="E48" s="8"/>
    </row>
    <row r="49" spans="3:5" x14ac:dyDescent="0.2">
      <c r="C49" s="7"/>
      <c r="D49" s="7"/>
      <c r="E49" s="8"/>
    </row>
    <row r="50" spans="3:5" x14ac:dyDescent="0.2">
      <c r="C50" s="7"/>
      <c r="D50" s="7"/>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50"/>
  <sheetViews>
    <sheetView showGridLines="0" workbookViewId="0"/>
  </sheetViews>
  <sheetFormatPr defaultColWidth="11" defaultRowHeight="14.25" x14ac:dyDescent="0.2"/>
  <cols>
    <col min="4" max="5" width="13.75" customWidth="1"/>
  </cols>
  <sheetData>
    <row r="1" spans="2:8" ht="15" x14ac:dyDescent="0.25">
      <c r="B1" s="6" t="s">
        <v>488</v>
      </c>
    </row>
    <row r="3" spans="2:8" x14ac:dyDescent="0.2">
      <c r="B3" t="s">
        <v>141</v>
      </c>
    </row>
    <row r="4" spans="2:8" ht="15" x14ac:dyDescent="0.25">
      <c r="B4" s="222" t="s">
        <v>142</v>
      </c>
      <c r="C4" s="223"/>
      <c r="D4" s="223"/>
      <c r="E4" s="223"/>
      <c r="F4" s="223"/>
      <c r="H4" s="6" t="s">
        <v>489</v>
      </c>
    </row>
    <row r="5" spans="2:8" x14ac:dyDescent="0.2">
      <c r="B5" t="s">
        <v>196</v>
      </c>
    </row>
    <row r="7" spans="2:8" ht="30.75" thickBot="1" x14ac:dyDescent="0.3">
      <c r="B7" s="110" t="s">
        <v>197</v>
      </c>
      <c r="C7" s="111" t="s">
        <v>477</v>
      </c>
      <c r="D7" s="111" t="s">
        <v>478</v>
      </c>
      <c r="E7" s="111" t="s">
        <v>479</v>
      </c>
    </row>
    <row r="8" spans="2:8" ht="15" thickTop="1" x14ac:dyDescent="0.2">
      <c r="B8" s="112">
        <v>2014</v>
      </c>
      <c r="C8" s="113">
        <v>13</v>
      </c>
      <c r="D8" s="113">
        <v>3</v>
      </c>
      <c r="E8" s="118">
        <v>0.230769230769231</v>
      </c>
    </row>
    <row r="9" spans="2:8" x14ac:dyDescent="0.2">
      <c r="B9" s="114">
        <v>2015</v>
      </c>
      <c r="C9" s="115">
        <v>14</v>
      </c>
      <c r="D9" s="115">
        <v>3</v>
      </c>
      <c r="E9" s="119">
        <v>0.214285714285714</v>
      </c>
    </row>
    <row r="10" spans="2:8" x14ac:dyDescent="0.2">
      <c r="B10" s="116">
        <v>2016</v>
      </c>
      <c r="C10" s="117">
        <v>8</v>
      </c>
      <c r="D10" s="117">
        <v>1</v>
      </c>
      <c r="E10" s="120">
        <v>0.125</v>
      </c>
    </row>
    <row r="11" spans="2:8" x14ac:dyDescent="0.2">
      <c r="B11" s="114">
        <v>2017</v>
      </c>
      <c r="C11" s="115">
        <v>9</v>
      </c>
      <c r="D11" s="115">
        <v>0</v>
      </c>
      <c r="E11" s="119">
        <v>0</v>
      </c>
    </row>
    <row r="12" spans="2:8" x14ac:dyDescent="0.2">
      <c r="B12" s="116">
        <v>2018</v>
      </c>
      <c r="C12" s="117">
        <v>16</v>
      </c>
      <c r="D12" s="117">
        <v>3</v>
      </c>
      <c r="E12" s="120">
        <v>0.1875</v>
      </c>
    </row>
    <row r="13" spans="2:8" x14ac:dyDescent="0.2">
      <c r="B13" s="114">
        <v>2019</v>
      </c>
      <c r="C13" s="115">
        <v>19</v>
      </c>
      <c r="D13" s="115">
        <v>4</v>
      </c>
      <c r="E13" s="119">
        <v>0.21052631578947401</v>
      </c>
    </row>
    <row r="14" spans="2:8" x14ac:dyDescent="0.2">
      <c r="B14" s="116">
        <v>2020</v>
      </c>
      <c r="C14" s="117">
        <v>8</v>
      </c>
      <c r="D14" s="117">
        <v>2</v>
      </c>
      <c r="E14" s="120">
        <v>0.25</v>
      </c>
    </row>
    <row r="15" spans="2:8" x14ac:dyDescent="0.2">
      <c r="B15" s="114">
        <v>2021</v>
      </c>
      <c r="C15" s="115">
        <v>15</v>
      </c>
      <c r="D15" s="115">
        <v>0</v>
      </c>
      <c r="E15" s="119">
        <v>0</v>
      </c>
    </row>
    <row r="16" spans="2:8" x14ac:dyDescent="0.2">
      <c r="B16" s="116">
        <v>2022</v>
      </c>
      <c r="C16" s="117">
        <v>16</v>
      </c>
      <c r="D16" s="117">
        <v>7</v>
      </c>
      <c r="E16" s="120">
        <v>0.4375</v>
      </c>
    </row>
    <row r="17" spans="2:12" x14ac:dyDescent="0.2">
      <c r="B17" s="114">
        <v>2023</v>
      </c>
      <c r="C17" s="115">
        <v>22</v>
      </c>
      <c r="D17" s="115">
        <v>8</v>
      </c>
      <c r="E17" s="119">
        <v>0.36363636363636398</v>
      </c>
    </row>
    <row r="18" spans="2:12" x14ac:dyDescent="0.2">
      <c r="B18" s="116">
        <v>2024</v>
      </c>
      <c r="C18" s="117">
        <v>53</v>
      </c>
      <c r="D18" s="117">
        <v>32</v>
      </c>
      <c r="E18" s="120">
        <v>0.60377358490566002</v>
      </c>
    </row>
    <row r="19" spans="2:12" ht="30" customHeight="1" x14ac:dyDescent="0.25">
      <c r="B19" s="121" t="s">
        <v>202</v>
      </c>
      <c r="C19" s="122">
        <v>12</v>
      </c>
      <c r="D19" s="122">
        <v>2</v>
      </c>
      <c r="E19" s="24">
        <v>0.16666666666666699</v>
      </c>
    </row>
    <row r="21" spans="2:12" ht="37.5" customHeight="1" x14ac:dyDescent="0.2">
      <c r="B21" s="230" t="s">
        <v>490</v>
      </c>
      <c r="C21" s="223"/>
      <c r="D21" s="223"/>
      <c r="E21" s="223"/>
      <c r="F21" s="223"/>
    </row>
    <row r="23" spans="2:12" x14ac:dyDescent="0.2">
      <c r="B23" s="1" t="str">
        <f>HYPERLINK("#'Contents'!A1", "Return to Contents Page")</f>
        <v>Return to Contents Page</v>
      </c>
    </row>
    <row r="26" spans="2:12" ht="15" x14ac:dyDescent="0.25">
      <c r="B26" s="6" t="s">
        <v>143</v>
      </c>
    </row>
    <row r="27" spans="2:12" ht="30" customHeight="1" x14ac:dyDescent="0.25">
      <c r="B27" s="222" t="s">
        <v>144</v>
      </c>
      <c r="C27" s="223"/>
      <c r="D27" s="223"/>
      <c r="E27" s="223"/>
      <c r="H27" s="222" t="s">
        <v>491</v>
      </c>
      <c r="I27" s="223"/>
      <c r="J27" s="223"/>
      <c r="K27" s="223"/>
      <c r="L27" s="223"/>
    </row>
    <row r="28" spans="2:12" ht="15" x14ac:dyDescent="0.25">
      <c r="B28" s="6" t="s">
        <v>196</v>
      </c>
    </row>
    <row r="30" spans="2:12" ht="30.75" thickBot="1" x14ac:dyDescent="0.3">
      <c r="B30" s="110" t="s">
        <v>197</v>
      </c>
      <c r="C30" s="111" t="s">
        <v>477</v>
      </c>
      <c r="D30" s="111" t="s">
        <v>478</v>
      </c>
      <c r="E30" s="111" t="s">
        <v>479</v>
      </c>
    </row>
    <row r="31" spans="2:12" ht="15" thickTop="1" x14ac:dyDescent="0.2">
      <c r="B31" s="124" t="s">
        <v>207</v>
      </c>
      <c r="C31" s="113">
        <v>12</v>
      </c>
      <c r="D31" s="113">
        <v>2</v>
      </c>
      <c r="E31" s="118">
        <v>0.16666666666666699</v>
      </c>
    </row>
    <row r="32" spans="2:12" x14ac:dyDescent="0.2">
      <c r="B32" s="125" t="s">
        <v>208</v>
      </c>
      <c r="C32" s="115">
        <v>13.2</v>
      </c>
      <c r="D32" s="115">
        <v>2.2000000000000002</v>
      </c>
      <c r="E32" s="119">
        <v>0.16666666666666699</v>
      </c>
    </row>
    <row r="33" spans="2:6" x14ac:dyDescent="0.2">
      <c r="B33" s="126" t="s">
        <v>209</v>
      </c>
      <c r="C33" s="117">
        <v>12</v>
      </c>
      <c r="D33" s="117">
        <v>2</v>
      </c>
      <c r="E33" s="120">
        <v>0.16666666666666699</v>
      </c>
    </row>
    <row r="34" spans="2:6" x14ac:dyDescent="0.2">
      <c r="B34" s="125" t="s">
        <v>210</v>
      </c>
      <c r="C34" s="115">
        <v>13.4</v>
      </c>
      <c r="D34" s="115">
        <v>1.8</v>
      </c>
      <c r="E34" s="119">
        <v>0.134328358208955</v>
      </c>
    </row>
    <row r="35" spans="2:6" x14ac:dyDescent="0.2">
      <c r="B35" s="126" t="s">
        <v>211</v>
      </c>
      <c r="C35" s="117">
        <v>14.8</v>
      </c>
      <c r="D35" s="117">
        <v>3.2</v>
      </c>
      <c r="E35" s="120">
        <v>0.21621621621621601</v>
      </c>
    </row>
    <row r="36" spans="2:6" x14ac:dyDescent="0.2">
      <c r="B36" s="125" t="s">
        <v>212</v>
      </c>
      <c r="C36" s="115">
        <v>16</v>
      </c>
      <c r="D36" s="115">
        <v>4.2</v>
      </c>
      <c r="E36" s="119">
        <v>0.26250000000000001</v>
      </c>
    </row>
    <row r="37" spans="2:6" x14ac:dyDescent="0.2">
      <c r="B37" s="126" t="s">
        <v>213</v>
      </c>
      <c r="C37" s="117">
        <v>22.8</v>
      </c>
      <c r="D37" s="117">
        <v>9.8000000000000007</v>
      </c>
      <c r="E37" s="120">
        <v>0.429824561403509</v>
      </c>
    </row>
    <row r="38" spans="2:6" ht="30" x14ac:dyDescent="0.25">
      <c r="B38" s="121" t="s">
        <v>214</v>
      </c>
      <c r="C38" s="122">
        <v>12</v>
      </c>
      <c r="D38" s="122">
        <v>2</v>
      </c>
      <c r="E38" s="24">
        <v>0.16666666666666699</v>
      </c>
    </row>
    <row r="39" spans="2:6" x14ac:dyDescent="0.2">
      <c r="C39" s="7"/>
      <c r="D39" s="7"/>
      <c r="E39" s="8"/>
    </row>
    <row r="40" spans="2:6" ht="37.5" customHeight="1" x14ac:dyDescent="0.2">
      <c r="B40" s="230" t="s">
        <v>490</v>
      </c>
      <c r="C40" s="227"/>
      <c r="D40" s="227"/>
      <c r="E40" s="229"/>
      <c r="F40" s="223"/>
    </row>
    <row r="41" spans="2:6" x14ac:dyDescent="0.2">
      <c r="C41" s="7"/>
      <c r="D41" s="7"/>
      <c r="E41" s="8"/>
    </row>
    <row r="42" spans="2:6" x14ac:dyDescent="0.2">
      <c r="C42" s="7"/>
      <c r="D42" s="7"/>
      <c r="E42" s="8"/>
    </row>
    <row r="43" spans="2:6" x14ac:dyDescent="0.2">
      <c r="C43" s="7"/>
      <c r="D43" s="7"/>
      <c r="E43" s="8"/>
    </row>
    <row r="44" spans="2:6" x14ac:dyDescent="0.2">
      <c r="B44" s="1" t="str">
        <f>HYPERLINK("#'Contents'!A1", "Return to Contents Page")</f>
        <v>Return to Contents Page</v>
      </c>
      <c r="C44" s="7"/>
      <c r="D44" s="7"/>
      <c r="E44" s="8"/>
    </row>
    <row r="45" spans="2:6" x14ac:dyDescent="0.2">
      <c r="C45" s="7"/>
      <c r="D45" s="7"/>
      <c r="E45" s="8"/>
    </row>
    <row r="46" spans="2:6" x14ac:dyDescent="0.2">
      <c r="C46" s="7"/>
      <c r="D46" s="7"/>
      <c r="E46" s="8"/>
    </row>
    <row r="47" spans="2:6" x14ac:dyDescent="0.2">
      <c r="C47" s="7"/>
      <c r="D47" s="7"/>
      <c r="E47" s="8"/>
    </row>
    <row r="48" spans="2:6" x14ac:dyDescent="0.2">
      <c r="C48" s="7"/>
      <c r="D48" s="7"/>
      <c r="E48" s="8"/>
    </row>
    <row r="49" spans="3:5" x14ac:dyDescent="0.2">
      <c r="C49" s="7"/>
      <c r="D49" s="7"/>
      <c r="E49" s="8"/>
    </row>
    <row r="50" spans="3:5" x14ac:dyDescent="0.2">
      <c r="C50" s="7"/>
      <c r="D50" s="7"/>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L50"/>
  <sheetViews>
    <sheetView showGridLines="0" workbookViewId="0"/>
  </sheetViews>
  <sheetFormatPr defaultColWidth="11" defaultRowHeight="14.25" x14ac:dyDescent="0.2"/>
  <cols>
    <col min="4" max="5" width="13.75" customWidth="1"/>
  </cols>
  <sheetData>
    <row r="1" spans="2:8" ht="15" x14ac:dyDescent="0.25">
      <c r="B1" s="6" t="s">
        <v>492</v>
      </c>
    </row>
    <row r="3" spans="2:8" x14ac:dyDescent="0.2">
      <c r="B3" t="s">
        <v>145</v>
      </c>
    </row>
    <row r="4" spans="2:8" ht="15" x14ac:dyDescent="0.25">
      <c r="B4" s="222" t="s">
        <v>146</v>
      </c>
      <c r="C4" s="223"/>
      <c r="D4" s="223"/>
      <c r="E4" s="223"/>
      <c r="F4" s="223"/>
      <c r="H4" s="6" t="s">
        <v>493</v>
      </c>
    </row>
    <row r="5" spans="2:8" x14ac:dyDescent="0.2">
      <c r="B5" t="s">
        <v>196</v>
      </c>
    </row>
    <row r="7" spans="2:8" ht="30.75" thickBot="1" x14ac:dyDescent="0.3">
      <c r="B7" s="110" t="s">
        <v>197</v>
      </c>
      <c r="C7" s="111" t="s">
        <v>477</v>
      </c>
      <c r="D7" s="111" t="s">
        <v>478</v>
      </c>
      <c r="E7" s="111" t="s">
        <v>479</v>
      </c>
    </row>
    <row r="8" spans="2:8" ht="15" thickTop="1" x14ac:dyDescent="0.2">
      <c r="B8" s="112">
        <v>2014</v>
      </c>
      <c r="C8" s="113">
        <v>4</v>
      </c>
      <c r="D8" s="113">
        <v>1</v>
      </c>
      <c r="E8" s="118">
        <v>0.25</v>
      </c>
    </row>
    <row r="9" spans="2:8" x14ac:dyDescent="0.2">
      <c r="B9" s="114">
        <v>2015</v>
      </c>
      <c r="C9" s="115">
        <v>6</v>
      </c>
      <c r="D9" s="115">
        <v>1</v>
      </c>
      <c r="E9" s="119">
        <v>0.16666666666666699</v>
      </c>
    </row>
    <row r="10" spans="2:8" x14ac:dyDescent="0.2">
      <c r="B10" s="116">
        <v>2016</v>
      </c>
      <c r="C10" s="117">
        <v>10</v>
      </c>
      <c r="D10" s="117">
        <v>5</v>
      </c>
      <c r="E10" s="120">
        <v>0.5</v>
      </c>
    </row>
    <row r="11" spans="2:8" x14ac:dyDescent="0.2">
      <c r="B11" s="114">
        <v>2017</v>
      </c>
      <c r="C11" s="115">
        <v>11</v>
      </c>
      <c r="D11" s="115">
        <v>8</v>
      </c>
      <c r="E11" s="119">
        <v>0.72727272727272696</v>
      </c>
    </row>
    <row r="12" spans="2:8" x14ac:dyDescent="0.2">
      <c r="B12" s="116">
        <v>2018</v>
      </c>
      <c r="C12" s="117">
        <v>5</v>
      </c>
      <c r="D12" s="117">
        <v>1</v>
      </c>
      <c r="E12" s="120">
        <v>0.2</v>
      </c>
    </row>
    <row r="13" spans="2:8" x14ac:dyDescent="0.2">
      <c r="B13" s="114">
        <v>2019</v>
      </c>
      <c r="C13" s="115">
        <v>6</v>
      </c>
      <c r="D13" s="115">
        <v>4</v>
      </c>
      <c r="E13" s="119">
        <v>0.66666666666666696</v>
      </c>
    </row>
    <row r="14" spans="2:8" x14ac:dyDescent="0.2">
      <c r="B14" s="116">
        <v>2020</v>
      </c>
      <c r="C14" s="117">
        <v>2</v>
      </c>
      <c r="D14" s="117">
        <v>0</v>
      </c>
      <c r="E14" s="120">
        <v>0</v>
      </c>
    </row>
    <row r="15" spans="2:8" x14ac:dyDescent="0.2">
      <c r="B15" s="114">
        <v>2021</v>
      </c>
      <c r="C15" s="115">
        <v>4</v>
      </c>
      <c r="D15" s="115">
        <v>2</v>
      </c>
      <c r="E15" s="119">
        <v>0.5</v>
      </c>
    </row>
    <row r="16" spans="2:8" x14ac:dyDescent="0.2">
      <c r="B16" s="116">
        <v>2022</v>
      </c>
      <c r="C16" s="117">
        <v>9</v>
      </c>
      <c r="D16" s="117">
        <v>3</v>
      </c>
      <c r="E16" s="120">
        <v>0.33333333333333298</v>
      </c>
    </row>
    <row r="17" spans="2:12" x14ac:dyDescent="0.2">
      <c r="B17" s="114">
        <v>2023</v>
      </c>
      <c r="C17" s="115">
        <v>5</v>
      </c>
      <c r="D17" s="115">
        <v>3</v>
      </c>
      <c r="E17" s="119">
        <v>0.6</v>
      </c>
    </row>
    <row r="18" spans="2:12" x14ac:dyDescent="0.2">
      <c r="B18" s="116">
        <v>2024</v>
      </c>
      <c r="C18" s="117">
        <v>5</v>
      </c>
      <c r="D18" s="117">
        <v>2</v>
      </c>
      <c r="E18" s="120">
        <v>0.4</v>
      </c>
    </row>
    <row r="19" spans="2:12" ht="30" customHeight="1" x14ac:dyDescent="0.25">
      <c r="B19" s="121" t="s">
        <v>202</v>
      </c>
      <c r="C19" s="122">
        <v>7.2</v>
      </c>
      <c r="D19" s="122">
        <v>3.2</v>
      </c>
      <c r="E19" s="24">
        <v>0.44444444444444398</v>
      </c>
    </row>
    <row r="21" spans="2:12" ht="36" customHeight="1" x14ac:dyDescent="0.2">
      <c r="B21" s="230" t="s">
        <v>494</v>
      </c>
      <c r="C21" s="223"/>
      <c r="D21" s="223"/>
      <c r="E21" s="223"/>
      <c r="F21" s="223"/>
    </row>
    <row r="23" spans="2:12" x14ac:dyDescent="0.2">
      <c r="B23" s="1" t="str">
        <f>HYPERLINK("#'Contents'!A1", "Return to Contents Page")</f>
        <v>Return to Contents Page</v>
      </c>
    </row>
    <row r="26" spans="2:12" ht="15" x14ac:dyDescent="0.25">
      <c r="B26" s="6" t="s">
        <v>147</v>
      </c>
    </row>
    <row r="27" spans="2:12" ht="30" customHeight="1" x14ac:dyDescent="0.25">
      <c r="B27" s="222" t="s">
        <v>148</v>
      </c>
      <c r="C27" s="223"/>
      <c r="D27" s="223"/>
      <c r="E27" s="223"/>
      <c r="H27" s="222" t="s">
        <v>483</v>
      </c>
      <c r="I27" s="223"/>
      <c r="J27" s="223"/>
      <c r="K27" s="223"/>
      <c r="L27" s="223"/>
    </row>
    <row r="28" spans="2:12" ht="15" x14ac:dyDescent="0.25">
      <c r="B28" s="6" t="s">
        <v>196</v>
      </c>
    </row>
    <row r="30" spans="2:12" ht="30.75" thickBot="1" x14ac:dyDescent="0.3">
      <c r="B30" s="110" t="s">
        <v>197</v>
      </c>
      <c r="C30" s="111" t="s">
        <v>477</v>
      </c>
      <c r="D30" s="111" t="s">
        <v>478</v>
      </c>
      <c r="E30" s="111" t="s">
        <v>479</v>
      </c>
    </row>
    <row r="31" spans="2:12" ht="15" thickTop="1" x14ac:dyDescent="0.2">
      <c r="B31" s="124" t="s">
        <v>207</v>
      </c>
      <c r="C31" s="113">
        <v>7.2</v>
      </c>
      <c r="D31" s="113">
        <v>3.2</v>
      </c>
      <c r="E31" s="118">
        <v>0.44444444444444398</v>
      </c>
    </row>
    <row r="32" spans="2:12" x14ac:dyDescent="0.2">
      <c r="B32" s="125" t="s">
        <v>208</v>
      </c>
      <c r="C32" s="115">
        <v>7.6</v>
      </c>
      <c r="D32" s="115">
        <v>3.8</v>
      </c>
      <c r="E32" s="119">
        <v>0.5</v>
      </c>
    </row>
    <row r="33" spans="2:6" x14ac:dyDescent="0.2">
      <c r="B33" s="126" t="s">
        <v>209</v>
      </c>
      <c r="C33" s="117">
        <v>6.8</v>
      </c>
      <c r="D33" s="117">
        <v>3.6</v>
      </c>
      <c r="E33" s="120">
        <v>0.52941176470588203</v>
      </c>
    </row>
    <row r="34" spans="2:6" x14ac:dyDescent="0.2">
      <c r="B34" s="125" t="s">
        <v>210</v>
      </c>
      <c r="C34" s="115">
        <v>5.6</v>
      </c>
      <c r="D34" s="115">
        <v>3</v>
      </c>
      <c r="E34" s="119">
        <v>0.53571428571428603</v>
      </c>
    </row>
    <row r="35" spans="2:6" x14ac:dyDescent="0.2">
      <c r="B35" s="126" t="s">
        <v>211</v>
      </c>
      <c r="C35" s="117">
        <v>5.2</v>
      </c>
      <c r="D35" s="117">
        <v>2</v>
      </c>
      <c r="E35" s="120">
        <v>0.38461538461538503</v>
      </c>
    </row>
    <row r="36" spans="2:6" x14ac:dyDescent="0.2">
      <c r="B36" s="125" t="s">
        <v>212</v>
      </c>
      <c r="C36" s="115">
        <v>5.2</v>
      </c>
      <c r="D36" s="115">
        <v>2.4</v>
      </c>
      <c r="E36" s="119">
        <v>0.46153846153846201</v>
      </c>
    </row>
    <row r="37" spans="2:6" x14ac:dyDescent="0.2">
      <c r="B37" s="126" t="s">
        <v>213</v>
      </c>
      <c r="C37" s="117">
        <v>5</v>
      </c>
      <c r="D37" s="117">
        <v>2</v>
      </c>
      <c r="E37" s="120">
        <v>0.4</v>
      </c>
    </row>
    <row r="38" spans="2:6" ht="30" x14ac:dyDescent="0.25">
      <c r="B38" s="121" t="s">
        <v>214</v>
      </c>
      <c r="C38" s="122">
        <v>7.2</v>
      </c>
      <c r="D38" s="122">
        <v>3.2</v>
      </c>
      <c r="E38" s="24">
        <v>0.44444444444444398</v>
      </c>
    </row>
    <row r="39" spans="2:6" x14ac:dyDescent="0.2">
      <c r="C39" s="7"/>
      <c r="D39" s="7"/>
      <c r="E39" s="8"/>
    </row>
    <row r="40" spans="2:6" ht="36" customHeight="1" x14ac:dyDescent="0.2">
      <c r="B40" s="230" t="s">
        <v>495</v>
      </c>
      <c r="C40" s="227"/>
      <c r="D40" s="227"/>
      <c r="E40" s="229"/>
      <c r="F40" s="223"/>
    </row>
    <row r="41" spans="2:6" x14ac:dyDescent="0.2">
      <c r="C41" s="7"/>
      <c r="D41" s="7"/>
      <c r="E41" s="8"/>
    </row>
    <row r="42" spans="2:6" x14ac:dyDescent="0.2">
      <c r="C42" s="7"/>
      <c r="D42" s="7"/>
      <c r="E42" s="8"/>
    </row>
    <row r="43" spans="2:6" x14ac:dyDescent="0.2">
      <c r="C43" s="7"/>
      <c r="D43" s="7"/>
      <c r="E43" s="8"/>
    </row>
    <row r="44" spans="2:6" x14ac:dyDescent="0.2">
      <c r="B44" s="1" t="str">
        <f>HYPERLINK("#'Contents'!A1", "Return to Contents Page")</f>
        <v>Return to Contents Page</v>
      </c>
      <c r="C44" s="7"/>
      <c r="D44" s="7"/>
      <c r="E44" s="8"/>
    </row>
    <row r="45" spans="2:6" x14ac:dyDescent="0.2">
      <c r="C45" s="7"/>
      <c r="D45" s="7"/>
      <c r="E45" s="8"/>
    </row>
    <row r="46" spans="2:6" x14ac:dyDescent="0.2">
      <c r="C46" s="7"/>
      <c r="D46" s="7"/>
      <c r="E46" s="8"/>
    </row>
    <row r="47" spans="2:6" x14ac:dyDescent="0.2">
      <c r="C47" s="7"/>
      <c r="D47" s="7"/>
      <c r="E47" s="8"/>
    </row>
    <row r="48" spans="2:6" x14ac:dyDescent="0.2">
      <c r="C48" s="7"/>
      <c r="D48" s="7"/>
      <c r="E48" s="8"/>
    </row>
    <row r="49" spans="3:5" x14ac:dyDescent="0.2">
      <c r="C49" s="7"/>
      <c r="D49" s="7"/>
      <c r="E49" s="8"/>
    </row>
    <row r="50" spans="3:5" x14ac:dyDescent="0.2">
      <c r="C50" s="7"/>
      <c r="D50" s="7"/>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L50"/>
  <sheetViews>
    <sheetView showGridLines="0" workbookViewId="0"/>
  </sheetViews>
  <sheetFormatPr defaultColWidth="11" defaultRowHeight="14.25" x14ac:dyDescent="0.2"/>
  <cols>
    <col min="4" max="5" width="13.75" customWidth="1"/>
  </cols>
  <sheetData>
    <row r="1" spans="2:8" ht="15" x14ac:dyDescent="0.25">
      <c r="B1" s="6" t="s">
        <v>496</v>
      </c>
    </row>
    <row r="3" spans="2:8" x14ac:dyDescent="0.2">
      <c r="B3" t="s">
        <v>149</v>
      </c>
    </row>
    <row r="4" spans="2:8" ht="36" customHeight="1" x14ac:dyDescent="0.25">
      <c r="B4" s="222" t="s">
        <v>150</v>
      </c>
      <c r="C4" s="223"/>
      <c r="D4" s="223"/>
      <c r="E4" s="223"/>
      <c r="F4" s="223"/>
      <c r="H4" s="6" t="s">
        <v>497</v>
      </c>
    </row>
    <row r="5" spans="2:8" x14ac:dyDescent="0.2">
      <c r="B5" t="s">
        <v>196</v>
      </c>
    </row>
    <row r="7" spans="2:8" ht="30.75" thickBot="1" x14ac:dyDescent="0.3">
      <c r="B7" s="110" t="s">
        <v>197</v>
      </c>
      <c r="C7" s="111" t="s">
        <v>477</v>
      </c>
      <c r="D7" s="111" t="s">
        <v>478</v>
      </c>
      <c r="E7" s="111" t="s">
        <v>479</v>
      </c>
    </row>
    <row r="8" spans="2:8" ht="15" thickTop="1" x14ac:dyDescent="0.2">
      <c r="B8" s="112">
        <v>2014</v>
      </c>
      <c r="C8" s="113">
        <v>243</v>
      </c>
      <c r="D8" s="113">
        <v>156</v>
      </c>
      <c r="E8" s="118">
        <v>0.64197530864197505</v>
      </c>
    </row>
    <row r="9" spans="2:8" x14ac:dyDescent="0.2">
      <c r="B9" s="114">
        <v>2015</v>
      </c>
      <c r="C9" s="115">
        <v>214</v>
      </c>
      <c r="D9" s="115">
        <v>157</v>
      </c>
      <c r="E9" s="119">
        <v>0.73364485981308403</v>
      </c>
    </row>
    <row r="10" spans="2:8" x14ac:dyDescent="0.2">
      <c r="B10" s="116">
        <v>2016</v>
      </c>
      <c r="C10" s="117">
        <v>223</v>
      </c>
      <c r="D10" s="117">
        <v>151</v>
      </c>
      <c r="E10" s="120">
        <v>0.67713004484304895</v>
      </c>
    </row>
    <row r="11" spans="2:8" x14ac:dyDescent="0.2">
      <c r="B11" s="114">
        <v>2017</v>
      </c>
      <c r="C11" s="115">
        <v>218</v>
      </c>
      <c r="D11" s="115">
        <v>146</v>
      </c>
      <c r="E11" s="119">
        <v>0.66972477064220204</v>
      </c>
    </row>
    <row r="12" spans="2:8" x14ac:dyDescent="0.2">
      <c r="B12" s="116">
        <v>2018</v>
      </c>
      <c r="C12" s="117">
        <v>187</v>
      </c>
      <c r="D12" s="117">
        <v>134</v>
      </c>
      <c r="E12" s="120">
        <v>0.71657754010695196</v>
      </c>
    </row>
    <row r="13" spans="2:8" x14ac:dyDescent="0.2">
      <c r="B13" s="114">
        <v>2019</v>
      </c>
      <c r="C13" s="115">
        <v>210</v>
      </c>
      <c r="D13" s="115">
        <v>137</v>
      </c>
      <c r="E13" s="119">
        <v>0.65238095238095195</v>
      </c>
    </row>
    <row r="14" spans="2:8" x14ac:dyDescent="0.2">
      <c r="B14" s="116">
        <v>2020</v>
      </c>
      <c r="C14" s="117">
        <v>146</v>
      </c>
      <c r="D14" s="117">
        <v>100</v>
      </c>
      <c r="E14" s="120">
        <v>0.68493150684931503</v>
      </c>
    </row>
    <row r="15" spans="2:8" x14ac:dyDescent="0.2">
      <c r="B15" s="114">
        <v>2021</v>
      </c>
      <c r="C15" s="115">
        <v>193</v>
      </c>
      <c r="D15" s="115">
        <v>140</v>
      </c>
      <c r="E15" s="119">
        <v>0.72538860103626901</v>
      </c>
    </row>
    <row r="16" spans="2:8" x14ac:dyDescent="0.2">
      <c r="B16" s="116">
        <v>2022</v>
      </c>
      <c r="C16" s="117">
        <v>227</v>
      </c>
      <c r="D16" s="117">
        <v>159</v>
      </c>
      <c r="E16" s="120">
        <v>0.70044052863436101</v>
      </c>
    </row>
    <row r="17" spans="2:12" x14ac:dyDescent="0.2">
      <c r="B17" s="114">
        <v>2023</v>
      </c>
      <c r="C17" s="115">
        <v>219</v>
      </c>
      <c r="D17" s="115">
        <v>153</v>
      </c>
      <c r="E17" s="119">
        <v>0.69863013698630105</v>
      </c>
    </row>
    <row r="18" spans="2:12" x14ac:dyDescent="0.2">
      <c r="B18" s="116">
        <v>2024</v>
      </c>
      <c r="C18" s="117">
        <v>251</v>
      </c>
      <c r="D18" s="117">
        <v>164</v>
      </c>
      <c r="E18" s="120">
        <v>0.65338645418326702</v>
      </c>
    </row>
    <row r="19" spans="2:12" ht="30" customHeight="1" x14ac:dyDescent="0.25">
      <c r="B19" s="121" t="s">
        <v>202</v>
      </c>
      <c r="C19" s="122">
        <v>217</v>
      </c>
      <c r="D19" s="122">
        <v>148.80000000000001</v>
      </c>
      <c r="E19" s="24">
        <v>0.68571428571428605</v>
      </c>
    </row>
    <row r="21" spans="2:12" ht="14.25" customHeight="1" x14ac:dyDescent="0.2">
      <c r="B21" s="230" t="s">
        <v>203</v>
      </c>
      <c r="C21" s="223"/>
      <c r="D21" s="223"/>
      <c r="E21" s="223"/>
      <c r="F21" s="223"/>
    </row>
    <row r="23" spans="2:12" x14ac:dyDescent="0.2">
      <c r="B23" s="1" t="str">
        <f>HYPERLINK("#'Contents'!A1", "Return to Contents Page")</f>
        <v>Return to Contents Page</v>
      </c>
    </row>
    <row r="26" spans="2:12" ht="15" x14ac:dyDescent="0.25">
      <c r="B26" s="6" t="s">
        <v>151</v>
      </c>
    </row>
    <row r="27" spans="2:12" ht="30" customHeight="1" x14ac:dyDescent="0.25">
      <c r="B27" s="222" t="s">
        <v>152</v>
      </c>
      <c r="C27" s="223"/>
      <c r="D27" s="223"/>
      <c r="E27" s="223"/>
      <c r="H27" s="222" t="s">
        <v>498</v>
      </c>
      <c r="I27" s="223"/>
      <c r="J27" s="223"/>
      <c r="K27" s="223"/>
      <c r="L27" s="223"/>
    </row>
    <row r="28" spans="2:12" ht="15" x14ac:dyDescent="0.25">
      <c r="B28" s="6" t="s">
        <v>196</v>
      </c>
    </row>
    <row r="30" spans="2:12" ht="30.75" thickBot="1" x14ac:dyDescent="0.3">
      <c r="B30" s="110" t="s">
        <v>197</v>
      </c>
      <c r="C30" s="111" t="s">
        <v>477</v>
      </c>
      <c r="D30" s="111" t="s">
        <v>478</v>
      </c>
      <c r="E30" s="111" t="s">
        <v>479</v>
      </c>
    </row>
    <row r="31" spans="2:12" ht="15" thickTop="1" x14ac:dyDescent="0.2">
      <c r="B31" s="124" t="s">
        <v>207</v>
      </c>
      <c r="C31" s="113">
        <v>217</v>
      </c>
      <c r="D31" s="113">
        <v>148.80000000000001</v>
      </c>
      <c r="E31" s="118">
        <v>0.68571428571428605</v>
      </c>
    </row>
    <row r="32" spans="2:12" x14ac:dyDescent="0.2">
      <c r="B32" s="125" t="s">
        <v>208</v>
      </c>
      <c r="C32" s="115">
        <v>210.4</v>
      </c>
      <c r="D32" s="115">
        <v>145</v>
      </c>
      <c r="E32" s="119">
        <v>0.68916349809885902</v>
      </c>
    </row>
    <row r="33" spans="2:6" x14ac:dyDescent="0.2">
      <c r="B33" s="126" t="s">
        <v>209</v>
      </c>
      <c r="C33" s="117">
        <v>196.8</v>
      </c>
      <c r="D33" s="117">
        <v>133.6</v>
      </c>
      <c r="E33" s="120">
        <v>0.67886178861788604</v>
      </c>
    </row>
    <row r="34" spans="2:6" x14ac:dyDescent="0.2">
      <c r="B34" s="125" t="s">
        <v>210</v>
      </c>
      <c r="C34" s="115">
        <v>190.8</v>
      </c>
      <c r="D34" s="115">
        <v>131.4</v>
      </c>
      <c r="E34" s="119">
        <v>0.68867924528301905</v>
      </c>
    </row>
    <row r="35" spans="2:6" x14ac:dyDescent="0.2">
      <c r="B35" s="126" t="s">
        <v>211</v>
      </c>
      <c r="C35" s="117">
        <v>192.6</v>
      </c>
      <c r="D35" s="117">
        <v>134</v>
      </c>
      <c r="E35" s="120">
        <v>0.69574247144340595</v>
      </c>
    </row>
    <row r="36" spans="2:6" x14ac:dyDescent="0.2">
      <c r="B36" s="125" t="s">
        <v>212</v>
      </c>
      <c r="C36" s="115">
        <v>199</v>
      </c>
      <c r="D36" s="115">
        <v>137.80000000000001</v>
      </c>
      <c r="E36" s="119">
        <v>0.69246231155778903</v>
      </c>
    </row>
    <row r="37" spans="2:6" x14ac:dyDescent="0.2">
      <c r="B37" s="126" t="s">
        <v>213</v>
      </c>
      <c r="C37" s="117">
        <v>207.2</v>
      </c>
      <c r="D37" s="117">
        <v>143.19999999999999</v>
      </c>
      <c r="E37" s="120">
        <v>0.69111969111969096</v>
      </c>
    </row>
    <row r="38" spans="2:6" ht="30" x14ac:dyDescent="0.25">
      <c r="B38" s="121" t="s">
        <v>214</v>
      </c>
      <c r="C38" s="122">
        <v>217</v>
      </c>
      <c r="D38" s="122">
        <v>148.80000000000001</v>
      </c>
      <c r="E38" s="24">
        <v>0.68571428571428605</v>
      </c>
    </row>
    <row r="39" spans="2:6" x14ac:dyDescent="0.2">
      <c r="C39" s="7"/>
      <c r="D39" s="7"/>
      <c r="E39" s="8"/>
    </row>
    <row r="40" spans="2:6" x14ac:dyDescent="0.2">
      <c r="B40" s="230" t="s">
        <v>499</v>
      </c>
      <c r="C40" s="227"/>
      <c r="D40" s="227"/>
      <c r="E40" s="229"/>
      <c r="F40" s="223"/>
    </row>
    <row r="41" spans="2:6" x14ac:dyDescent="0.2">
      <c r="C41" s="7"/>
      <c r="D41" s="7"/>
      <c r="E41" s="8"/>
    </row>
    <row r="42" spans="2:6" x14ac:dyDescent="0.2">
      <c r="C42" s="7"/>
      <c r="D42" s="7"/>
      <c r="E42" s="8"/>
    </row>
    <row r="43" spans="2:6" x14ac:dyDescent="0.2">
      <c r="C43" s="7"/>
      <c r="D43" s="7"/>
      <c r="E43" s="8"/>
    </row>
    <row r="44" spans="2:6" x14ac:dyDescent="0.2">
      <c r="B44" s="1" t="str">
        <f>HYPERLINK("#'Contents'!A1", "Return to Contents Page")</f>
        <v>Return to Contents Page</v>
      </c>
      <c r="C44" s="7"/>
      <c r="D44" s="7"/>
      <c r="E44" s="8"/>
    </row>
    <row r="45" spans="2:6" x14ac:dyDescent="0.2">
      <c r="C45" s="7"/>
      <c r="D45" s="7"/>
      <c r="E45" s="8"/>
    </row>
    <row r="46" spans="2:6" x14ac:dyDescent="0.2">
      <c r="C46" s="7"/>
      <c r="D46" s="7"/>
      <c r="E46" s="8"/>
    </row>
    <row r="47" spans="2:6" x14ac:dyDescent="0.2">
      <c r="C47" s="7"/>
      <c r="D47" s="7"/>
      <c r="E47" s="8"/>
    </row>
    <row r="48" spans="2:6" x14ac:dyDescent="0.2">
      <c r="C48" s="7"/>
      <c r="D48" s="7"/>
      <c r="E48" s="8"/>
    </row>
    <row r="49" spans="3:5" x14ac:dyDescent="0.2">
      <c r="C49" s="7"/>
      <c r="D49" s="7"/>
      <c r="E49" s="8"/>
    </row>
    <row r="50" spans="3:5" x14ac:dyDescent="0.2">
      <c r="C50" s="7"/>
      <c r="D50" s="7"/>
      <c r="E50" s="8"/>
    </row>
  </sheetData>
  <mergeCells count="5">
    <mergeCell ref="B4:F4"/>
    <mergeCell ref="B21:F21"/>
    <mergeCell ref="B40:F40"/>
    <mergeCell ref="B27:E27"/>
    <mergeCell ref="H27:L27"/>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Q50"/>
  <sheetViews>
    <sheetView showGridLines="0" workbookViewId="0"/>
  </sheetViews>
  <sheetFormatPr defaultColWidth="11" defaultRowHeight="14.25" x14ac:dyDescent="0.2"/>
  <cols>
    <col min="4" max="5" width="13.75" customWidth="1"/>
    <col min="9" max="9" width="15.75" customWidth="1"/>
  </cols>
  <sheetData>
    <row r="1" spans="2:11" ht="15" x14ac:dyDescent="0.25">
      <c r="B1" s="6" t="s">
        <v>500</v>
      </c>
    </row>
    <row r="3" spans="2:11" x14ac:dyDescent="0.2">
      <c r="B3" t="s">
        <v>153</v>
      </c>
    </row>
    <row r="4" spans="2:11" ht="15" x14ac:dyDescent="0.25">
      <c r="B4" s="222" t="s">
        <v>154</v>
      </c>
      <c r="C4" s="223"/>
      <c r="D4" s="223"/>
      <c r="E4" s="223"/>
      <c r="F4" s="223"/>
      <c r="G4" s="223"/>
      <c r="K4" s="6" t="s">
        <v>508</v>
      </c>
    </row>
    <row r="5" spans="2:11" x14ac:dyDescent="0.2">
      <c r="B5" t="s">
        <v>196</v>
      </c>
    </row>
    <row r="7" spans="2:11" ht="30.75" thickBot="1" x14ac:dyDescent="0.3">
      <c r="B7" s="110" t="s">
        <v>197</v>
      </c>
      <c r="C7" s="111" t="s">
        <v>501</v>
      </c>
      <c r="D7" s="111" t="s">
        <v>502</v>
      </c>
      <c r="E7" s="111" t="s">
        <v>503</v>
      </c>
      <c r="F7" s="111" t="s">
        <v>504</v>
      </c>
      <c r="G7" s="111" t="s">
        <v>505</v>
      </c>
      <c r="H7" s="111" t="s">
        <v>506</v>
      </c>
      <c r="I7" s="111" t="s">
        <v>507</v>
      </c>
    </row>
    <row r="8" spans="2:11" ht="15" thickTop="1" x14ac:dyDescent="0.2">
      <c r="B8" s="112">
        <v>2014</v>
      </c>
      <c r="C8" s="113">
        <v>3</v>
      </c>
      <c r="D8" s="113">
        <v>33</v>
      </c>
      <c r="E8" s="113">
        <v>16</v>
      </c>
      <c r="F8" s="113">
        <v>16</v>
      </c>
      <c r="G8" s="113">
        <v>68</v>
      </c>
      <c r="H8" s="118">
        <v>0.48529411764705899</v>
      </c>
      <c r="I8" s="118">
        <v>-0.12</v>
      </c>
    </row>
    <row r="9" spans="2:11" x14ac:dyDescent="0.2">
      <c r="B9" s="114">
        <v>2015</v>
      </c>
      <c r="C9" s="115">
        <v>4</v>
      </c>
      <c r="D9" s="115">
        <v>38</v>
      </c>
      <c r="E9" s="115">
        <v>14</v>
      </c>
      <c r="F9" s="115">
        <v>2</v>
      </c>
      <c r="G9" s="115">
        <v>58</v>
      </c>
      <c r="H9" s="119">
        <v>0.65517241379310298</v>
      </c>
      <c r="I9" s="119">
        <v>0.05</v>
      </c>
    </row>
    <row r="10" spans="2:11" x14ac:dyDescent="0.2">
      <c r="B10" s="116">
        <v>2016</v>
      </c>
      <c r="C10" s="117">
        <v>1</v>
      </c>
      <c r="D10" s="117">
        <v>41</v>
      </c>
      <c r="E10" s="117">
        <v>6</v>
      </c>
      <c r="F10" s="117">
        <v>8</v>
      </c>
      <c r="G10" s="117">
        <v>56</v>
      </c>
      <c r="H10" s="120">
        <v>0.73214285714285698</v>
      </c>
      <c r="I10" s="120">
        <v>0.12</v>
      </c>
    </row>
    <row r="11" spans="2:11" x14ac:dyDescent="0.2">
      <c r="B11" s="114">
        <v>2017</v>
      </c>
      <c r="C11" s="115">
        <v>0</v>
      </c>
      <c r="D11" s="115">
        <v>22</v>
      </c>
      <c r="E11" s="115">
        <v>7</v>
      </c>
      <c r="F11" s="115">
        <v>17</v>
      </c>
      <c r="G11" s="115">
        <v>46</v>
      </c>
      <c r="H11" s="119">
        <v>0.47826086956521702</v>
      </c>
      <c r="I11" s="119">
        <v>-0.13</v>
      </c>
    </row>
    <row r="12" spans="2:11" x14ac:dyDescent="0.2">
      <c r="B12" s="116">
        <v>2018</v>
      </c>
      <c r="C12" s="117">
        <v>0</v>
      </c>
      <c r="D12" s="117">
        <v>29</v>
      </c>
      <c r="E12" s="117">
        <v>4</v>
      </c>
      <c r="F12" s="117">
        <v>7</v>
      </c>
      <c r="G12" s="117">
        <v>40</v>
      </c>
      <c r="H12" s="120">
        <v>0.72499999999999998</v>
      </c>
      <c r="I12" s="120">
        <v>0.12</v>
      </c>
    </row>
    <row r="13" spans="2:11" x14ac:dyDescent="0.2">
      <c r="B13" s="114">
        <v>2019</v>
      </c>
      <c r="C13" s="115">
        <v>3</v>
      </c>
      <c r="D13" s="115">
        <v>29</v>
      </c>
      <c r="E13" s="115">
        <v>10</v>
      </c>
      <c r="F13" s="115">
        <v>4</v>
      </c>
      <c r="G13" s="115">
        <v>46</v>
      </c>
      <c r="H13" s="119">
        <v>0.63043478260869601</v>
      </c>
      <c r="I13" s="119">
        <v>0.02</v>
      </c>
    </row>
    <row r="14" spans="2:11" x14ac:dyDescent="0.2">
      <c r="B14" s="116">
        <v>2020</v>
      </c>
      <c r="C14" s="117">
        <v>1</v>
      </c>
      <c r="D14" s="117">
        <v>23</v>
      </c>
      <c r="E14" s="117">
        <v>4</v>
      </c>
      <c r="F14" s="117">
        <v>7</v>
      </c>
      <c r="G14" s="117">
        <v>35</v>
      </c>
      <c r="H14" s="120">
        <v>0.65714285714285703</v>
      </c>
      <c r="I14" s="120">
        <v>0.05</v>
      </c>
    </row>
    <row r="15" spans="2:11" x14ac:dyDescent="0.2">
      <c r="B15" s="114">
        <v>2021</v>
      </c>
      <c r="C15" s="115">
        <v>0</v>
      </c>
      <c r="D15" s="115">
        <v>29</v>
      </c>
      <c r="E15" s="115">
        <v>16</v>
      </c>
      <c r="F15" s="115">
        <v>4</v>
      </c>
      <c r="G15" s="115">
        <v>49</v>
      </c>
      <c r="H15" s="119">
        <v>0.59183673469387799</v>
      </c>
      <c r="I15" s="119">
        <v>-0.02</v>
      </c>
    </row>
    <row r="16" spans="2:11" x14ac:dyDescent="0.2">
      <c r="B16" s="116">
        <v>2022</v>
      </c>
      <c r="C16" s="117">
        <v>1</v>
      </c>
      <c r="D16" s="117">
        <v>32</v>
      </c>
      <c r="E16" s="117">
        <v>9</v>
      </c>
      <c r="F16" s="117">
        <v>11</v>
      </c>
      <c r="G16" s="117">
        <v>53</v>
      </c>
      <c r="H16" s="120">
        <v>0.60377358490566002</v>
      </c>
      <c r="I16" s="120">
        <v>0</v>
      </c>
    </row>
    <row r="17" spans="2:17" x14ac:dyDescent="0.2">
      <c r="B17" s="114">
        <v>2023</v>
      </c>
      <c r="C17" s="115">
        <v>0</v>
      </c>
      <c r="D17" s="115">
        <v>41</v>
      </c>
      <c r="E17" s="115">
        <v>8</v>
      </c>
      <c r="F17" s="115">
        <v>4</v>
      </c>
      <c r="G17" s="115">
        <v>53</v>
      </c>
      <c r="H17" s="119">
        <v>0.77358490566037696</v>
      </c>
      <c r="I17" s="119">
        <v>0.17</v>
      </c>
    </row>
    <row r="18" spans="2:17" x14ac:dyDescent="0.2">
      <c r="B18" s="116">
        <v>2024</v>
      </c>
      <c r="C18" s="117">
        <v>1</v>
      </c>
      <c r="D18" s="117">
        <v>44</v>
      </c>
      <c r="E18" s="117">
        <v>4</v>
      </c>
      <c r="F18" s="117">
        <v>9</v>
      </c>
      <c r="G18" s="117">
        <v>58</v>
      </c>
      <c r="H18" s="120">
        <v>0.75862068965517204</v>
      </c>
      <c r="I18" s="120">
        <v>0.15</v>
      </c>
    </row>
    <row r="19" spans="2:17" ht="30" customHeight="1" x14ac:dyDescent="0.25">
      <c r="B19" s="121" t="s">
        <v>202</v>
      </c>
      <c r="C19" s="122">
        <v>1.6</v>
      </c>
      <c r="D19" s="122">
        <v>32.6</v>
      </c>
      <c r="E19" s="122">
        <v>9.4</v>
      </c>
      <c r="F19" s="122">
        <v>10</v>
      </c>
      <c r="G19" s="122">
        <v>53.6</v>
      </c>
      <c r="H19" s="131">
        <v>0.60820895522388096</v>
      </c>
      <c r="I19" s="24"/>
    </row>
    <row r="21" spans="2:17" ht="14.25" customHeight="1" x14ac:dyDescent="0.2">
      <c r="B21" s="230" t="s">
        <v>203</v>
      </c>
      <c r="C21" s="223"/>
      <c r="D21" s="223"/>
      <c r="E21" s="223"/>
      <c r="F21" s="223"/>
    </row>
    <row r="23" spans="2:17" x14ac:dyDescent="0.2">
      <c r="B23" s="1" t="str">
        <f>HYPERLINK("#'Contents'!A1", "Return to Contents Page")</f>
        <v>Return to Contents Page</v>
      </c>
    </row>
    <row r="26" spans="2:17" ht="15" x14ac:dyDescent="0.25">
      <c r="B26" s="6" t="s">
        <v>155</v>
      </c>
    </row>
    <row r="27" spans="2:17" ht="30" customHeight="1" x14ac:dyDescent="0.25">
      <c r="B27" s="222" t="s">
        <v>156</v>
      </c>
      <c r="C27" s="223"/>
      <c r="D27" s="223"/>
      <c r="E27" s="223"/>
      <c r="K27" s="222" t="s">
        <v>509</v>
      </c>
      <c r="L27" s="223"/>
      <c r="M27" s="223"/>
      <c r="N27" s="223"/>
      <c r="O27" s="223"/>
      <c r="P27" s="223"/>
      <c r="Q27" s="223"/>
    </row>
    <row r="28" spans="2:17" ht="15" x14ac:dyDescent="0.25">
      <c r="B28" s="6" t="s">
        <v>196</v>
      </c>
    </row>
    <row r="30" spans="2:17" ht="30.75" thickBot="1" x14ac:dyDescent="0.3">
      <c r="B30" s="110" t="s">
        <v>197</v>
      </c>
      <c r="C30" s="111" t="s">
        <v>501</v>
      </c>
      <c r="D30" s="111" t="s">
        <v>502</v>
      </c>
      <c r="E30" s="111" t="s">
        <v>503</v>
      </c>
      <c r="F30" s="111" t="s">
        <v>504</v>
      </c>
      <c r="G30" s="111" t="s">
        <v>505</v>
      </c>
      <c r="H30" s="111" t="s">
        <v>506</v>
      </c>
      <c r="I30" s="111" t="s">
        <v>507</v>
      </c>
    </row>
    <row r="31" spans="2:17" ht="15" thickTop="1" x14ac:dyDescent="0.2">
      <c r="B31" s="124" t="s">
        <v>207</v>
      </c>
      <c r="C31" s="113">
        <v>1.6</v>
      </c>
      <c r="D31" s="113">
        <v>32.6</v>
      </c>
      <c r="E31" s="113">
        <v>9.4</v>
      </c>
      <c r="F31" s="113">
        <v>10</v>
      </c>
      <c r="G31" s="113">
        <v>53.6</v>
      </c>
      <c r="H31" s="118">
        <v>0.60820895522388096</v>
      </c>
      <c r="I31" s="118">
        <v>0</v>
      </c>
    </row>
    <row r="32" spans="2:17" x14ac:dyDescent="0.2">
      <c r="B32" s="125" t="s">
        <v>208</v>
      </c>
      <c r="C32" s="115">
        <v>1.6</v>
      </c>
      <c r="D32" s="115">
        <v>31.8</v>
      </c>
      <c r="E32" s="115">
        <v>8.1999999999999993</v>
      </c>
      <c r="F32" s="115">
        <v>7.6</v>
      </c>
      <c r="G32" s="115">
        <v>49.2</v>
      </c>
      <c r="H32" s="119">
        <v>0.64634146341463405</v>
      </c>
      <c r="I32" s="119">
        <v>0.04</v>
      </c>
    </row>
    <row r="33" spans="2:9" x14ac:dyDescent="0.2">
      <c r="B33" s="126" t="s">
        <v>209</v>
      </c>
      <c r="C33" s="117">
        <v>1</v>
      </c>
      <c r="D33" s="117">
        <v>28.8</v>
      </c>
      <c r="E33" s="117">
        <v>6.2</v>
      </c>
      <c r="F33" s="117">
        <v>8.6</v>
      </c>
      <c r="G33" s="117">
        <v>44.6</v>
      </c>
      <c r="H33" s="120">
        <v>0.64573991031390099</v>
      </c>
      <c r="I33" s="120">
        <v>0.04</v>
      </c>
    </row>
    <row r="34" spans="2:9" x14ac:dyDescent="0.2">
      <c r="B34" s="125" t="s">
        <v>210</v>
      </c>
      <c r="C34" s="115">
        <v>0.8</v>
      </c>
      <c r="D34" s="115">
        <v>26.4</v>
      </c>
      <c r="E34" s="115">
        <v>8.1999999999999993</v>
      </c>
      <c r="F34" s="115">
        <v>7.8</v>
      </c>
      <c r="G34" s="115">
        <v>43.2</v>
      </c>
      <c r="H34" s="119">
        <v>0.61111111111111105</v>
      </c>
      <c r="I34" s="119">
        <v>0</v>
      </c>
    </row>
    <row r="35" spans="2:9" x14ac:dyDescent="0.2">
      <c r="B35" s="126" t="s">
        <v>211</v>
      </c>
      <c r="C35" s="117">
        <v>1</v>
      </c>
      <c r="D35" s="117">
        <v>28.4</v>
      </c>
      <c r="E35" s="117">
        <v>8.6</v>
      </c>
      <c r="F35" s="117">
        <v>6.6</v>
      </c>
      <c r="G35" s="117">
        <v>44.6</v>
      </c>
      <c r="H35" s="120">
        <v>0.63677130044843</v>
      </c>
      <c r="I35" s="120">
        <v>0.03</v>
      </c>
    </row>
    <row r="36" spans="2:9" ht="14.25" customHeight="1" x14ac:dyDescent="0.2">
      <c r="B36" s="125" t="s">
        <v>212</v>
      </c>
      <c r="C36" s="115">
        <v>1</v>
      </c>
      <c r="D36" s="115">
        <v>30.8</v>
      </c>
      <c r="E36" s="115">
        <v>9.4</v>
      </c>
      <c r="F36" s="115">
        <v>6</v>
      </c>
      <c r="G36" s="115">
        <v>47.2</v>
      </c>
      <c r="H36" s="119">
        <v>0.65254237288135597</v>
      </c>
      <c r="I36" s="119">
        <v>0.04</v>
      </c>
    </row>
    <row r="37" spans="2:9" x14ac:dyDescent="0.2">
      <c r="B37" s="126" t="s">
        <v>213</v>
      </c>
      <c r="C37" s="117">
        <v>0.6</v>
      </c>
      <c r="D37" s="117">
        <v>33.799999999999997</v>
      </c>
      <c r="E37" s="117">
        <v>8.1999999999999993</v>
      </c>
      <c r="F37" s="117">
        <v>7</v>
      </c>
      <c r="G37" s="117">
        <v>49.6</v>
      </c>
      <c r="H37" s="120">
        <v>0.68145161290322598</v>
      </c>
      <c r="I37" s="120">
        <v>7.0000000000000007E-2</v>
      </c>
    </row>
    <row r="38" spans="2:9" ht="30" x14ac:dyDescent="0.25">
      <c r="B38" s="132" t="s">
        <v>214</v>
      </c>
      <c r="C38" s="122">
        <v>1.6</v>
      </c>
      <c r="D38" s="122">
        <v>32.6</v>
      </c>
      <c r="E38" s="122">
        <v>9.4</v>
      </c>
      <c r="F38" s="122">
        <v>10</v>
      </c>
      <c r="G38" s="122">
        <v>53.6</v>
      </c>
      <c r="H38" s="131">
        <v>0.60820895522388096</v>
      </c>
      <c r="I38" s="24"/>
    </row>
    <row r="39" spans="2:9" x14ac:dyDescent="0.2">
      <c r="C39" s="7"/>
      <c r="D39" s="7"/>
      <c r="E39" s="7"/>
      <c r="F39" s="7"/>
      <c r="G39" s="7"/>
      <c r="H39" s="8"/>
      <c r="I39" s="8"/>
    </row>
    <row r="40" spans="2:9" x14ac:dyDescent="0.2">
      <c r="B40" s="230" t="s">
        <v>499</v>
      </c>
      <c r="C40" s="227"/>
      <c r="D40" s="227"/>
      <c r="E40" s="227"/>
      <c r="F40" s="227"/>
      <c r="G40" s="7"/>
      <c r="H40" s="8"/>
      <c r="I40" s="8"/>
    </row>
    <row r="41" spans="2:9" x14ac:dyDescent="0.2">
      <c r="C41" s="7"/>
      <c r="D41" s="7"/>
      <c r="E41" s="7"/>
      <c r="F41" s="7"/>
      <c r="G41" s="7"/>
      <c r="H41" s="8"/>
      <c r="I41" s="8"/>
    </row>
    <row r="42" spans="2:9" x14ac:dyDescent="0.2">
      <c r="C42" s="7"/>
      <c r="D42" s="7"/>
      <c r="E42" s="7"/>
      <c r="F42" s="7"/>
      <c r="G42" s="7"/>
      <c r="H42" s="8"/>
      <c r="I42" s="8"/>
    </row>
    <row r="43" spans="2:9" x14ac:dyDescent="0.2">
      <c r="C43" s="7"/>
      <c r="D43" s="7"/>
      <c r="E43" s="7"/>
      <c r="F43" s="7"/>
      <c r="G43" s="7"/>
      <c r="H43" s="8"/>
      <c r="I43" s="8"/>
    </row>
    <row r="44" spans="2:9" x14ac:dyDescent="0.2">
      <c r="B44" s="1" t="str">
        <f>HYPERLINK("#'Contents'!A1", "Return to Contents Page")</f>
        <v>Return to Contents Page</v>
      </c>
      <c r="C44" s="7"/>
      <c r="D44" s="7"/>
      <c r="E44" s="7"/>
      <c r="F44" s="7"/>
      <c r="G44" s="7"/>
      <c r="H44" s="8"/>
      <c r="I44" s="8"/>
    </row>
    <row r="45" spans="2:9" x14ac:dyDescent="0.2">
      <c r="C45" s="7"/>
      <c r="D45" s="7"/>
      <c r="E45" s="7"/>
      <c r="F45" s="7"/>
      <c r="G45" s="7"/>
      <c r="H45" s="8"/>
      <c r="I45" s="8"/>
    </row>
    <row r="46" spans="2:9" x14ac:dyDescent="0.2">
      <c r="C46" s="7"/>
      <c r="D46" s="7"/>
      <c r="E46" s="7"/>
      <c r="F46" s="7"/>
      <c r="G46" s="7"/>
      <c r="H46" s="8"/>
      <c r="I46" s="8"/>
    </row>
    <row r="47" spans="2:9" x14ac:dyDescent="0.2">
      <c r="C47" s="7"/>
      <c r="D47" s="7"/>
      <c r="E47" s="7"/>
      <c r="F47" s="7"/>
      <c r="G47" s="7"/>
      <c r="H47" s="8"/>
      <c r="I47" s="8"/>
    </row>
    <row r="48" spans="2:9" x14ac:dyDescent="0.2">
      <c r="C48" s="7"/>
      <c r="D48" s="7"/>
      <c r="E48" s="7"/>
      <c r="F48" s="7"/>
      <c r="G48" s="7"/>
      <c r="H48" s="8"/>
      <c r="I48" s="8"/>
    </row>
    <row r="49" spans="3:9" x14ac:dyDescent="0.2">
      <c r="C49" s="7"/>
      <c r="D49" s="7"/>
      <c r="E49" s="7"/>
      <c r="F49" s="7"/>
      <c r="G49" s="7"/>
      <c r="H49" s="8"/>
      <c r="I49" s="8"/>
    </row>
    <row r="50" spans="3:9" x14ac:dyDescent="0.2">
      <c r="C50" s="7"/>
      <c r="D50" s="7"/>
      <c r="E50" s="7"/>
      <c r="F50" s="7"/>
      <c r="G50" s="7"/>
      <c r="H50" s="8"/>
      <c r="I50" s="8"/>
    </row>
  </sheetData>
  <mergeCells count="5">
    <mergeCell ref="B4:G4"/>
    <mergeCell ref="B21:F21"/>
    <mergeCell ref="B40:F40"/>
    <mergeCell ref="B27:E27"/>
    <mergeCell ref="K27:Q27"/>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H50"/>
  <sheetViews>
    <sheetView showGridLines="0" workbookViewId="0"/>
  </sheetViews>
  <sheetFormatPr defaultColWidth="11" defaultRowHeight="14.25" x14ac:dyDescent="0.2"/>
  <cols>
    <col min="4" max="5" width="13.75" customWidth="1"/>
  </cols>
  <sheetData>
    <row r="1" spans="2:8" ht="15" x14ac:dyDescent="0.25">
      <c r="B1" s="6" t="s">
        <v>510</v>
      </c>
    </row>
    <row r="3" spans="2:8" x14ac:dyDescent="0.2">
      <c r="B3" t="s">
        <v>157</v>
      </c>
    </row>
    <row r="4" spans="2:8" ht="30" customHeight="1" x14ac:dyDescent="0.25">
      <c r="B4" s="222" t="s">
        <v>158</v>
      </c>
      <c r="C4" s="223"/>
      <c r="D4" s="223"/>
      <c r="E4" s="223"/>
      <c r="F4" s="223"/>
      <c r="H4" s="6"/>
    </row>
    <row r="5" spans="2:8" x14ac:dyDescent="0.2">
      <c r="B5" t="s">
        <v>196</v>
      </c>
    </row>
    <row r="7" spans="2:8" ht="45.75" thickBot="1" x14ac:dyDescent="0.3">
      <c r="B7" s="84" t="s">
        <v>197</v>
      </c>
      <c r="C7" s="133" t="s">
        <v>511</v>
      </c>
      <c r="D7" s="133" t="s">
        <v>512</v>
      </c>
      <c r="E7" s="133" t="s">
        <v>513</v>
      </c>
      <c r="F7" s="133" t="s">
        <v>514</v>
      </c>
    </row>
    <row r="8" spans="2:8" ht="15" thickTop="1" x14ac:dyDescent="0.2">
      <c r="B8" s="134">
        <v>2014</v>
      </c>
      <c r="C8" s="135">
        <v>18</v>
      </c>
      <c r="D8" s="135">
        <v>23</v>
      </c>
      <c r="E8" s="135">
        <v>9</v>
      </c>
      <c r="F8" s="135">
        <v>2</v>
      </c>
    </row>
    <row r="9" spans="2:8" x14ac:dyDescent="0.2">
      <c r="B9" s="136">
        <v>2015</v>
      </c>
      <c r="C9" s="137">
        <v>16</v>
      </c>
      <c r="D9" s="137">
        <v>35</v>
      </c>
      <c r="E9" s="137">
        <v>5</v>
      </c>
      <c r="F9" s="137">
        <v>1</v>
      </c>
    </row>
    <row r="10" spans="2:8" x14ac:dyDescent="0.2">
      <c r="B10" s="138">
        <v>2016</v>
      </c>
      <c r="C10" s="139">
        <v>7</v>
      </c>
      <c r="D10" s="139">
        <v>39</v>
      </c>
      <c r="E10" s="139">
        <v>6</v>
      </c>
      <c r="F10" s="139">
        <v>0</v>
      </c>
    </row>
    <row r="11" spans="2:8" x14ac:dyDescent="0.2">
      <c r="B11" s="136">
        <v>2017</v>
      </c>
      <c r="C11" s="137">
        <v>9</v>
      </c>
      <c r="D11" s="137">
        <v>31</v>
      </c>
      <c r="E11" s="137">
        <v>4</v>
      </c>
      <c r="F11" s="137">
        <v>0</v>
      </c>
    </row>
    <row r="12" spans="2:8" x14ac:dyDescent="0.2">
      <c r="B12" s="138">
        <v>2018</v>
      </c>
      <c r="C12" s="139">
        <v>12</v>
      </c>
      <c r="D12" s="139">
        <v>29</v>
      </c>
      <c r="E12" s="139">
        <v>6</v>
      </c>
      <c r="F12" s="139">
        <v>0</v>
      </c>
    </row>
    <row r="13" spans="2:8" x14ac:dyDescent="0.2">
      <c r="B13" s="136">
        <v>2019</v>
      </c>
      <c r="C13" s="137">
        <v>10</v>
      </c>
      <c r="D13" s="137">
        <v>17</v>
      </c>
      <c r="E13" s="137">
        <v>2</v>
      </c>
      <c r="F13" s="137">
        <v>0</v>
      </c>
    </row>
    <row r="14" spans="2:8" x14ac:dyDescent="0.2">
      <c r="B14" s="138">
        <v>2020</v>
      </c>
      <c r="C14" s="139">
        <v>8</v>
      </c>
      <c r="D14" s="139">
        <v>12</v>
      </c>
      <c r="E14" s="139">
        <v>10</v>
      </c>
      <c r="F14" s="139">
        <v>0</v>
      </c>
    </row>
    <row r="15" spans="2:8" x14ac:dyDescent="0.2">
      <c r="B15" s="136">
        <v>2021</v>
      </c>
      <c r="C15" s="137">
        <v>8</v>
      </c>
      <c r="D15" s="137">
        <v>23</v>
      </c>
      <c r="E15" s="137">
        <v>8</v>
      </c>
      <c r="F15" s="137">
        <v>0</v>
      </c>
    </row>
    <row r="16" spans="2:8" x14ac:dyDescent="0.2">
      <c r="B16" s="138">
        <v>2022</v>
      </c>
      <c r="C16" s="139">
        <v>3</v>
      </c>
      <c r="D16" s="139">
        <v>46</v>
      </c>
      <c r="E16" s="139">
        <v>11</v>
      </c>
      <c r="F16" s="139">
        <v>0</v>
      </c>
    </row>
    <row r="17" spans="2:8" x14ac:dyDescent="0.2">
      <c r="B17" s="136">
        <v>2023</v>
      </c>
      <c r="C17" s="137">
        <v>6</v>
      </c>
      <c r="D17" s="137">
        <v>47</v>
      </c>
      <c r="E17" s="137">
        <v>13</v>
      </c>
      <c r="F17" s="137">
        <v>1</v>
      </c>
    </row>
    <row r="18" spans="2:8" x14ac:dyDescent="0.2">
      <c r="B18" s="138">
        <v>2024</v>
      </c>
      <c r="C18" s="139">
        <v>13</v>
      </c>
      <c r="D18" s="139">
        <v>49</v>
      </c>
      <c r="E18" s="139">
        <v>12</v>
      </c>
      <c r="F18" s="139">
        <v>1</v>
      </c>
    </row>
    <row r="19" spans="2:8" ht="30" customHeight="1" x14ac:dyDescent="0.25">
      <c r="B19" s="140" t="s">
        <v>202</v>
      </c>
      <c r="C19" s="141">
        <v>12.4</v>
      </c>
      <c r="D19" s="141">
        <v>31.4</v>
      </c>
      <c r="E19" s="141">
        <v>6</v>
      </c>
      <c r="F19" s="142">
        <v>0.6</v>
      </c>
    </row>
    <row r="21" spans="2:8" ht="14.25" customHeight="1" x14ac:dyDescent="0.2">
      <c r="B21" s="230" t="s">
        <v>203</v>
      </c>
      <c r="C21" s="223"/>
      <c r="D21" s="223"/>
      <c r="E21" s="223"/>
      <c r="F21" s="223"/>
    </row>
    <row r="23" spans="2:8" x14ac:dyDescent="0.2">
      <c r="B23" s="1" t="str">
        <f>HYPERLINK("#'Contents'!A1", "Return to Contents Page")</f>
        <v>Return to Contents Page</v>
      </c>
    </row>
    <row r="26" spans="2:8" ht="15" x14ac:dyDescent="0.25">
      <c r="B26" s="6" t="s">
        <v>159</v>
      </c>
    </row>
    <row r="27" spans="2:8" ht="45" customHeight="1" x14ac:dyDescent="0.25">
      <c r="B27" s="222" t="s">
        <v>160</v>
      </c>
      <c r="C27" s="223"/>
      <c r="D27" s="223"/>
      <c r="E27" s="223"/>
      <c r="H27" s="17"/>
    </row>
    <row r="28" spans="2:8" ht="15" x14ac:dyDescent="0.25">
      <c r="B28" s="6" t="s">
        <v>196</v>
      </c>
    </row>
    <row r="30" spans="2:8" ht="45.75" thickBot="1" x14ac:dyDescent="0.3">
      <c r="B30" s="84" t="s">
        <v>197</v>
      </c>
      <c r="C30" s="133" t="s">
        <v>511</v>
      </c>
      <c r="D30" s="133" t="s">
        <v>512</v>
      </c>
      <c r="E30" s="133" t="s">
        <v>513</v>
      </c>
      <c r="F30" s="133" t="s">
        <v>514</v>
      </c>
    </row>
    <row r="31" spans="2:8" ht="15" thickTop="1" x14ac:dyDescent="0.2">
      <c r="B31" s="143" t="s">
        <v>207</v>
      </c>
      <c r="C31" s="135">
        <v>12.4</v>
      </c>
      <c r="D31" s="135">
        <v>31.4</v>
      </c>
      <c r="E31" s="135">
        <v>6</v>
      </c>
      <c r="F31" s="135">
        <v>0.6</v>
      </c>
    </row>
    <row r="32" spans="2:8" x14ac:dyDescent="0.2">
      <c r="B32" s="144" t="s">
        <v>208</v>
      </c>
      <c r="C32" s="137">
        <v>10.8</v>
      </c>
      <c r="D32" s="137">
        <v>30.2</v>
      </c>
      <c r="E32" s="137">
        <v>4.5999999999999996</v>
      </c>
      <c r="F32" s="137">
        <v>0.2</v>
      </c>
    </row>
    <row r="33" spans="2:6" x14ac:dyDescent="0.2">
      <c r="B33" s="145" t="s">
        <v>209</v>
      </c>
      <c r="C33" s="139">
        <v>9.1999999999999993</v>
      </c>
      <c r="D33" s="139">
        <v>25.6</v>
      </c>
      <c r="E33" s="139">
        <v>5.6</v>
      </c>
      <c r="F33" s="139">
        <v>0</v>
      </c>
    </row>
    <row r="34" spans="2:6" x14ac:dyDescent="0.2">
      <c r="B34" s="144" t="s">
        <v>210</v>
      </c>
      <c r="C34" s="137">
        <v>9.4</v>
      </c>
      <c r="D34" s="137">
        <v>22.4</v>
      </c>
      <c r="E34" s="137">
        <v>6</v>
      </c>
      <c r="F34" s="137">
        <v>0</v>
      </c>
    </row>
    <row r="35" spans="2:6" x14ac:dyDescent="0.2">
      <c r="B35" s="145" t="s">
        <v>211</v>
      </c>
      <c r="C35" s="139">
        <v>8.1999999999999993</v>
      </c>
      <c r="D35" s="139">
        <v>25.4</v>
      </c>
      <c r="E35" s="139">
        <v>7.4</v>
      </c>
      <c r="F35" s="139">
        <v>0</v>
      </c>
    </row>
    <row r="36" spans="2:6" x14ac:dyDescent="0.2">
      <c r="B36" s="144" t="s">
        <v>212</v>
      </c>
      <c r="C36" s="137">
        <v>7</v>
      </c>
      <c r="D36" s="137">
        <v>29</v>
      </c>
      <c r="E36" s="137">
        <v>8.8000000000000007</v>
      </c>
      <c r="F36" s="137">
        <v>0.2</v>
      </c>
    </row>
    <row r="37" spans="2:6" x14ac:dyDescent="0.2">
      <c r="B37" s="145" t="s">
        <v>213</v>
      </c>
      <c r="C37" s="139">
        <v>7.6</v>
      </c>
      <c r="D37" s="139">
        <v>35.4</v>
      </c>
      <c r="E37" s="139">
        <v>10.8</v>
      </c>
      <c r="F37" s="139">
        <v>0.4</v>
      </c>
    </row>
    <row r="38" spans="2:6" ht="30" x14ac:dyDescent="0.25">
      <c r="B38" s="140" t="s">
        <v>214</v>
      </c>
      <c r="C38" s="141">
        <v>12.4</v>
      </c>
      <c r="D38" s="141">
        <v>31.4</v>
      </c>
      <c r="E38" s="141">
        <v>6</v>
      </c>
      <c r="F38" s="142">
        <v>0.6</v>
      </c>
    </row>
    <row r="39" spans="2:6" x14ac:dyDescent="0.2">
      <c r="C39" s="7"/>
      <c r="D39" s="7"/>
      <c r="E39" s="7"/>
      <c r="F39" s="7"/>
    </row>
    <row r="40" spans="2:6" x14ac:dyDescent="0.2">
      <c r="B40" s="230" t="s">
        <v>499</v>
      </c>
      <c r="C40" s="227"/>
      <c r="D40" s="227"/>
      <c r="E40" s="227"/>
      <c r="F40" s="227"/>
    </row>
    <row r="41" spans="2:6" x14ac:dyDescent="0.2">
      <c r="C41" s="7"/>
      <c r="D41" s="7"/>
      <c r="E41" s="7"/>
      <c r="F41" s="7"/>
    </row>
    <row r="42" spans="2:6" x14ac:dyDescent="0.2">
      <c r="C42" s="7"/>
      <c r="D42" s="7"/>
      <c r="E42" s="7"/>
      <c r="F42" s="7"/>
    </row>
    <row r="43" spans="2:6" x14ac:dyDescent="0.2">
      <c r="C43" s="7"/>
      <c r="D43" s="7"/>
      <c r="E43" s="7"/>
      <c r="F43" s="7"/>
    </row>
    <row r="44" spans="2:6" x14ac:dyDescent="0.2">
      <c r="B44" s="1" t="str">
        <f>HYPERLINK("#'Contents'!A1", "Return to Contents Page")</f>
        <v>Return to Contents Page</v>
      </c>
      <c r="C44" s="7"/>
      <c r="D44" s="7"/>
      <c r="E44" s="7"/>
      <c r="F44" s="7"/>
    </row>
    <row r="45" spans="2:6" x14ac:dyDescent="0.2">
      <c r="C45" s="7"/>
      <c r="D45" s="7"/>
      <c r="E45" s="7"/>
      <c r="F45" s="7"/>
    </row>
    <row r="46" spans="2:6" x14ac:dyDescent="0.2">
      <c r="C46" s="7"/>
      <c r="D46" s="7"/>
      <c r="E46" s="7"/>
      <c r="F46" s="7"/>
    </row>
    <row r="47" spans="2:6" x14ac:dyDescent="0.2">
      <c r="C47" s="7"/>
      <c r="D47" s="7"/>
      <c r="E47" s="7"/>
      <c r="F47" s="7"/>
    </row>
    <row r="48" spans="2:6" x14ac:dyDescent="0.2">
      <c r="C48" s="7"/>
      <c r="D48" s="7"/>
      <c r="E48" s="7"/>
      <c r="F48" s="7"/>
    </row>
    <row r="49" spans="3:6" x14ac:dyDescent="0.2">
      <c r="C49" s="7"/>
      <c r="D49" s="7"/>
      <c r="E49" s="7"/>
      <c r="F49" s="7"/>
    </row>
    <row r="50" spans="3:6" x14ac:dyDescent="0.2">
      <c r="C50" s="7"/>
      <c r="D50" s="7"/>
      <c r="E50" s="7"/>
      <c r="F50" s="7"/>
    </row>
  </sheetData>
  <mergeCells count="4">
    <mergeCell ref="B4:F4"/>
    <mergeCell ref="B21:F21"/>
    <mergeCell ref="B40:F40"/>
    <mergeCell ref="B27:E27"/>
  </mergeCell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P50"/>
  <sheetViews>
    <sheetView showGridLines="0" workbookViewId="0"/>
  </sheetViews>
  <sheetFormatPr defaultColWidth="11" defaultRowHeight="14.25" x14ac:dyDescent="0.2"/>
  <cols>
    <col min="2" max="2" width="12.75" customWidth="1"/>
    <col min="3" max="3" width="17.75" customWidth="1"/>
    <col min="4" max="5" width="12.25" customWidth="1"/>
  </cols>
  <sheetData>
    <row r="1" spans="2:16" ht="15" x14ac:dyDescent="0.25">
      <c r="B1" s="6" t="s">
        <v>515</v>
      </c>
    </row>
    <row r="3" spans="2:16" x14ac:dyDescent="0.2">
      <c r="B3" t="s">
        <v>161</v>
      </c>
    </row>
    <row r="4" spans="2:16" ht="60" customHeight="1" x14ac:dyDescent="0.25">
      <c r="B4" s="222" t="s">
        <v>516</v>
      </c>
      <c r="C4" s="223"/>
      <c r="D4" s="223"/>
      <c r="E4" s="223"/>
      <c r="H4" s="222" t="s">
        <v>519</v>
      </c>
      <c r="I4" s="223"/>
      <c r="J4" s="223"/>
      <c r="K4" s="223"/>
      <c r="L4" s="223"/>
      <c r="M4" s="223"/>
      <c r="N4" s="223"/>
      <c r="O4" s="223"/>
      <c r="P4" s="223"/>
    </row>
    <row r="5" spans="2:16" x14ac:dyDescent="0.2">
      <c r="B5" t="s">
        <v>196</v>
      </c>
    </row>
    <row r="7" spans="2:16" ht="45" customHeight="1" thickBot="1" x14ac:dyDescent="0.3">
      <c r="B7" s="84" t="s">
        <v>197</v>
      </c>
      <c r="C7" s="133" t="s">
        <v>517</v>
      </c>
      <c r="D7" s="133" t="s">
        <v>518</v>
      </c>
      <c r="E7" s="133" t="s">
        <v>200</v>
      </c>
    </row>
    <row r="8" spans="2:16" ht="15" thickTop="1" x14ac:dyDescent="0.2">
      <c r="B8" s="134">
        <v>2014</v>
      </c>
      <c r="C8" s="135">
        <v>29</v>
      </c>
      <c r="D8" s="146"/>
      <c r="E8" s="146"/>
    </row>
    <row r="9" spans="2:16" x14ac:dyDescent="0.2">
      <c r="B9" s="136">
        <v>2015</v>
      </c>
      <c r="C9" s="137">
        <v>25</v>
      </c>
      <c r="D9" s="147"/>
      <c r="E9" s="147">
        <v>-0.13793103448275901</v>
      </c>
    </row>
    <row r="10" spans="2:16" x14ac:dyDescent="0.2">
      <c r="B10" s="138">
        <v>2016</v>
      </c>
      <c r="C10" s="139">
        <v>23</v>
      </c>
      <c r="D10" s="148"/>
      <c r="E10" s="148">
        <v>-0.08</v>
      </c>
    </row>
    <row r="11" spans="2:16" x14ac:dyDescent="0.2">
      <c r="B11" s="136">
        <v>2017</v>
      </c>
      <c r="C11" s="137">
        <v>26</v>
      </c>
      <c r="D11" s="147"/>
      <c r="E11" s="147">
        <v>0.13043478260869601</v>
      </c>
    </row>
    <row r="12" spans="2:16" x14ac:dyDescent="0.2">
      <c r="B12" s="138">
        <v>2018</v>
      </c>
      <c r="C12" s="139">
        <v>26</v>
      </c>
      <c r="D12" s="148"/>
      <c r="E12" s="148">
        <v>0</v>
      </c>
    </row>
    <row r="13" spans="2:16" x14ac:dyDescent="0.2">
      <c r="B13" s="136">
        <v>2019</v>
      </c>
      <c r="C13" s="137">
        <v>15</v>
      </c>
      <c r="D13" s="147">
        <v>-0.418604651162791</v>
      </c>
      <c r="E13" s="147">
        <v>-0.42307692307692302</v>
      </c>
    </row>
    <row r="14" spans="2:16" x14ac:dyDescent="0.2">
      <c r="B14" s="138">
        <v>2020</v>
      </c>
      <c r="C14" s="139">
        <v>21</v>
      </c>
      <c r="D14" s="148">
        <v>-0.186046511627907</v>
      </c>
      <c r="E14" s="148">
        <v>0.4</v>
      </c>
    </row>
    <row r="15" spans="2:16" x14ac:dyDescent="0.2">
      <c r="B15" s="136">
        <v>2021</v>
      </c>
      <c r="C15" s="137">
        <v>15</v>
      </c>
      <c r="D15" s="147">
        <v>-0.418604651162791</v>
      </c>
      <c r="E15" s="147">
        <v>-0.28571428571428598</v>
      </c>
    </row>
    <row r="16" spans="2:16" x14ac:dyDescent="0.2">
      <c r="B16" s="138">
        <v>2022</v>
      </c>
      <c r="C16" s="139">
        <v>26</v>
      </c>
      <c r="D16" s="148">
        <v>7.7519379844960996E-3</v>
      </c>
      <c r="E16" s="148">
        <v>0.73333333333333295</v>
      </c>
    </row>
    <row r="17" spans="2:16" x14ac:dyDescent="0.2">
      <c r="B17" s="136">
        <v>2023</v>
      </c>
      <c r="C17" s="137">
        <v>14</v>
      </c>
      <c r="D17" s="147">
        <v>-0.45736434108527102</v>
      </c>
      <c r="E17" s="147">
        <v>-0.46153846153846201</v>
      </c>
    </row>
    <row r="18" spans="2:16" x14ac:dyDescent="0.2">
      <c r="B18" s="138">
        <v>2024</v>
      </c>
      <c r="C18" s="139">
        <v>30</v>
      </c>
      <c r="D18" s="148">
        <v>0.162790697674419</v>
      </c>
      <c r="E18" s="148">
        <v>1.1428571428571399</v>
      </c>
    </row>
    <row r="19" spans="2:16" ht="30" customHeight="1" x14ac:dyDescent="0.25">
      <c r="B19" s="140" t="s">
        <v>202</v>
      </c>
      <c r="C19" s="141">
        <v>25.8</v>
      </c>
      <c r="D19" s="149"/>
      <c r="E19" s="150"/>
    </row>
    <row r="21" spans="2:16" x14ac:dyDescent="0.2">
      <c r="B21" s="9" t="s">
        <v>203</v>
      </c>
    </row>
    <row r="23" spans="2:16" x14ac:dyDescent="0.2">
      <c r="B23" s="1" t="str">
        <f>HYPERLINK("#'Contents'!A1", "Return to Contents Page")</f>
        <v>Return to Contents Page</v>
      </c>
    </row>
    <row r="26" spans="2:16" ht="15" x14ac:dyDescent="0.25">
      <c r="B26" s="6" t="s">
        <v>163</v>
      </c>
    </row>
    <row r="27" spans="2:16" ht="60" customHeight="1" x14ac:dyDescent="0.25">
      <c r="B27" s="222" t="s">
        <v>520</v>
      </c>
      <c r="C27" s="223"/>
      <c r="D27" s="223"/>
      <c r="E27" s="223"/>
      <c r="F27" s="223"/>
      <c r="H27" s="222" t="s">
        <v>522</v>
      </c>
      <c r="I27" s="223"/>
      <c r="J27" s="223"/>
      <c r="K27" s="223"/>
      <c r="L27" s="223"/>
      <c r="M27" s="223"/>
      <c r="N27" s="223"/>
      <c r="O27" s="223"/>
      <c r="P27" s="223"/>
    </row>
    <row r="28" spans="2:16" ht="15" x14ac:dyDescent="0.25">
      <c r="B28" s="6" t="s">
        <v>196</v>
      </c>
    </row>
    <row r="30" spans="2:16" ht="45" customHeight="1" thickBot="1" x14ac:dyDescent="0.3">
      <c r="B30" s="84" t="s">
        <v>197</v>
      </c>
      <c r="C30" s="133" t="s">
        <v>517</v>
      </c>
      <c r="D30" s="133" t="s">
        <v>521</v>
      </c>
      <c r="E30" s="133" t="s">
        <v>206</v>
      </c>
    </row>
    <row r="31" spans="2:16" ht="15" thickTop="1" x14ac:dyDescent="0.2">
      <c r="B31" s="143" t="s">
        <v>207</v>
      </c>
      <c r="C31" s="135">
        <v>25.8</v>
      </c>
      <c r="D31" s="146"/>
      <c r="E31" s="146"/>
    </row>
    <row r="32" spans="2:16" x14ac:dyDescent="0.2">
      <c r="B32" s="144" t="s">
        <v>208</v>
      </c>
      <c r="C32" s="137">
        <v>23</v>
      </c>
      <c r="D32" s="147">
        <v>-0.108527131782946</v>
      </c>
      <c r="E32" s="147">
        <v>-0.108527131782946</v>
      </c>
    </row>
    <row r="33" spans="2:5" x14ac:dyDescent="0.2">
      <c r="B33" s="145" t="s">
        <v>209</v>
      </c>
      <c r="C33" s="139">
        <v>22.2</v>
      </c>
      <c r="D33" s="148">
        <v>-0.13953488372093001</v>
      </c>
      <c r="E33" s="148">
        <v>-3.4782608695652202E-2</v>
      </c>
    </row>
    <row r="34" spans="2:5" x14ac:dyDescent="0.2">
      <c r="B34" s="144" t="s">
        <v>210</v>
      </c>
      <c r="C34" s="137">
        <v>20.6</v>
      </c>
      <c r="D34" s="147">
        <v>-0.201550387596899</v>
      </c>
      <c r="E34" s="147">
        <v>-7.2072072072072002E-2</v>
      </c>
    </row>
    <row r="35" spans="2:5" x14ac:dyDescent="0.2">
      <c r="B35" s="145" t="s">
        <v>211</v>
      </c>
      <c r="C35" s="139">
        <v>20.6</v>
      </c>
      <c r="D35" s="148">
        <v>-0.201550387596899</v>
      </c>
      <c r="E35" s="148">
        <v>0</v>
      </c>
    </row>
    <row r="36" spans="2:5" x14ac:dyDescent="0.2">
      <c r="B36" s="144" t="s">
        <v>212</v>
      </c>
      <c r="C36" s="137">
        <v>18.2</v>
      </c>
      <c r="D36" s="147">
        <v>-0.29457364341085301</v>
      </c>
      <c r="E36" s="147">
        <v>-0.116504854368932</v>
      </c>
    </row>
    <row r="37" spans="2:5" x14ac:dyDescent="0.2">
      <c r="B37" s="145" t="s">
        <v>213</v>
      </c>
      <c r="C37" s="139">
        <v>21.2</v>
      </c>
      <c r="D37" s="148">
        <v>-0.178294573643411</v>
      </c>
      <c r="E37" s="148">
        <v>0.164835164835165</v>
      </c>
    </row>
    <row r="38" spans="2:5" ht="30" x14ac:dyDescent="0.25">
      <c r="B38" s="140" t="s">
        <v>214</v>
      </c>
      <c r="C38" s="141">
        <v>25.8</v>
      </c>
      <c r="D38" s="149"/>
      <c r="E38" s="150"/>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4">
    <mergeCell ref="B4:E4"/>
    <mergeCell ref="H4:P4"/>
    <mergeCell ref="B27:F27"/>
    <mergeCell ref="H27:P27"/>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P48"/>
  <sheetViews>
    <sheetView showGridLines="0" workbookViewId="0"/>
  </sheetViews>
  <sheetFormatPr defaultColWidth="11" defaultRowHeight="14.25" x14ac:dyDescent="0.2"/>
  <cols>
    <col min="3" max="5" width="13.75" customWidth="1"/>
    <col min="6" max="6" width="18.25" customWidth="1"/>
  </cols>
  <sheetData>
    <row r="1" spans="2:8" ht="15" x14ac:dyDescent="0.25">
      <c r="B1" s="6" t="s">
        <v>523</v>
      </c>
    </row>
    <row r="3" spans="2:8" x14ac:dyDescent="0.2">
      <c r="B3" t="s">
        <v>165</v>
      </c>
    </row>
    <row r="4" spans="2:8" ht="15" x14ac:dyDescent="0.25">
      <c r="B4" s="222" t="s">
        <v>166</v>
      </c>
      <c r="C4" s="223"/>
      <c r="D4" s="223"/>
      <c r="E4" s="223"/>
      <c r="F4" s="223"/>
      <c r="H4" s="6" t="s">
        <v>527</v>
      </c>
    </row>
    <row r="5" spans="2:8" x14ac:dyDescent="0.2">
      <c r="B5" t="s">
        <v>196</v>
      </c>
    </row>
    <row r="7" spans="2:8" ht="45.75" thickBot="1" x14ac:dyDescent="0.3">
      <c r="B7" s="84" t="s">
        <v>197</v>
      </c>
      <c r="C7" s="133" t="s">
        <v>524</v>
      </c>
      <c r="D7" s="133" t="s">
        <v>525</v>
      </c>
      <c r="E7" s="133" t="s">
        <v>505</v>
      </c>
      <c r="F7" s="133" t="s">
        <v>526</v>
      </c>
    </row>
    <row r="8" spans="2:8" ht="15" thickTop="1" x14ac:dyDescent="0.2">
      <c r="B8" s="134">
        <v>2014</v>
      </c>
      <c r="C8" s="135">
        <v>43</v>
      </c>
      <c r="D8" s="135">
        <v>54</v>
      </c>
      <c r="E8" s="135">
        <v>97</v>
      </c>
      <c r="F8" s="146">
        <v>0.55670103092783496</v>
      </c>
    </row>
    <row r="9" spans="2:8" x14ac:dyDescent="0.2">
      <c r="B9" s="136">
        <v>2015</v>
      </c>
      <c r="C9" s="137">
        <v>46</v>
      </c>
      <c r="D9" s="137">
        <v>36</v>
      </c>
      <c r="E9" s="137">
        <v>82</v>
      </c>
      <c r="F9" s="147">
        <v>0.439024390243902</v>
      </c>
    </row>
    <row r="10" spans="2:8" x14ac:dyDescent="0.2">
      <c r="B10" s="138">
        <v>2016</v>
      </c>
      <c r="C10" s="139">
        <v>49</v>
      </c>
      <c r="D10" s="139">
        <v>43</v>
      </c>
      <c r="E10" s="139">
        <v>92</v>
      </c>
      <c r="F10" s="148">
        <v>0.467391304347826</v>
      </c>
    </row>
    <row r="11" spans="2:8" x14ac:dyDescent="0.2">
      <c r="B11" s="136">
        <v>2017</v>
      </c>
      <c r="C11" s="137">
        <v>46</v>
      </c>
      <c r="D11" s="137">
        <v>43</v>
      </c>
      <c r="E11" s="137">
        <v>89</v>
      </c>
      <c r="F11" s="147">
        <v>0.48314606741573002</v>
      </c>
    </row>
    <row r="12" spans="2:8" x14ac:dyDescent="0.2">
      <c r="B12" s="138">
        <v>2018</v>
      </c>
      <c r="C12" s="139">
        <v>53</v>
      </c>
      <c r="D12" s="139">
        <v>55</v>
      </c>
      <c r="E12" s="139">
        <v>108</v>
      </c>
      <c r="F12" s="148">
        <v>0.50925925925925897</v>
      </c>
    </row>
    <row r="13" spans="2:8" x14ac:dyDescent="0.2">
      <c r="B13" s="136">
        <v>2019</v>
      </c>
      <c r="C13" s="137">
        <v>33</v>
      </c>
      <c r="D13" s="137">
        <v>54</v>
      </c>
      <c r="E13" s="137">
        <v>87</v>
      </c>
      <c r="F13" s="147">
        <v>0.62068965517241403</v>
      </c>
    </row>
    <row r="14" spans="2:8" x14ac:dyDescent="0.2">
      <c r="B14" s="138">
        <v>2020</v>
      </c>
      <c r="C14" s="139">
        <v>49</v>
      </c>
      <c r="D14" s="139">
        <v>43</v>
      </c>
      <c r="E14" s="139">
        <v>92</v>
      </c>
      <c r="F14" s="148">
        <v>0.467391304347826</v>
      </c>
    </row>
    <row r="15" spans="2:8" x14ac:dyDescent="0.2">
      <c r="B15" s="136">
        <v>2021</v>
      </c>
      <c r="C15" s="137">
        <v>46</v>
      </c>
      <c r="D15" s="137">
        <v>60</v>
      </c>
      <c r="E15" s="137">
        <v>106</v>
      </c>
      <c r="F15" s="147">
        <v>0.56603773584905703</v>
      </c>
    </row>
    <row r="16" spans="2:8" x14ac:dyDescent="0.2">
      <c r="B16" s="138">
        <v>2022</v>
      </c>
      <c r="C16" s="139">
        <v>54</v>
      </c>
      <c r="D16" s="139">
        <v>65</v>
      </c>
      <c r="E16" s="139">
        <v>119</v>
      </c>
      <c r="F16" s="148">
        <v>0.54621848739495804</v>
      </c>
    </row>
    <row r="17" spans="2:16" x14ac:dyDescent="0.2">
      <c r="B17" s="136">
        <v>2023</v>
      </c>
      <c r="C17" s="137">
        <v>53</v>
      </c>
      <c r="D17" s="137">
        <v>63</v>
      </c>
      <c r="E17" s="137">
        <v>116</v>
      </c>
      <c r="F17" s="147">
        <v>0.54310344827586199</v>
      </c>
    </row>
    <row r="18" spans="2:16" x14ac:dyDescent="0.2">
      <c r="B18" s="138">
        <v>2024</v>
      </c>
      <c r="C18" s="139">
        <v>67</v>
      </c>
      <c r="D18" s="139">
        <v>66</v>
      </c>
      <c r="E18" s="139">
        <v>133</v>
      </c>
      <c r="F18" s="148">
        <v>0.49624060150375898</v>
      </c>
    </row>
    <row r="19" spans="2:16" ht="30" customHeight="1" x14ac:dyDescent="0.25">
      <c r="B19" s="15" t="s">
        <v>202</v>
      </c>
      <c r="C19" s="16">
        <v>47.4</v>
      </c>
      <c r="D19" s="16">
        <v>46.2</v>
      </c>
      <c r="E19" s="16">
        <v>93.6</v>
      </c>
      <c r="F19" s="24">
        <v>0.493589743589744</v>
      </c>
    </row>
    <row r="20" spans="2:16" ht="22.5" customHeight="1" x14ac:dyDescent="0.2">
      <c r="B20" s="230" t="s">
        <v>203</v>
      </c>
      <c r="C20" s="223"/>
      <c r="D20" s="223"/>
      <c r="E20" s="223"/>
      <c r="F20" s="223"/>
    </row>
    <row r="22" spans="2:16" x14ac:dyDescent="0.2">
      <c r="B22" s="1" t="str">
        <f>HYPERLINK("#'Contents'!A1", "Return to Contents Page")</f>
        <v>Return to Contents Page</v>
      </c>
    </row>
    <row r="25" spans="2:16" ht="15" x14ac:dyDescent="0.25">
      <c r="B25" s="6" t="s">
        <v>167</v>
      </c>
    </row>
    <row r="26" spans="2:16" ht="15" x14ac:dyDescent="0.25">
      <c r="B26" s="222" t="s">
        <v>528</v>
      </c>
      <c r="C26" s="223"/>
      <c r="D26" s="223"/>
      <c r="E26" s="223"/>
      <c r="F26" s="223"/>
      <c r="H26" s="261" t="s">
        <v>663</v>
      </c>
      <c r="I26" s="223"/>
      <c r="J26" s="223"/>
      <c r="K26" s="223"/>
      <c r="L26" s="223"/>
      <c r="M26" s="223"/>
      <c r="N26" s="223"/>
      <c r="O26" s="223"/>
      <c r="P26" s="223"/>
    </row>
    <row r="27" spans="2:16" ht="15" x14ac:dyDescent="0.25">
      <c r="B27" s="6" t="s">
        <v>196</v>
      </c>
    </row>
    <row r="29" spans="2:16" ht="45.75" thickBot="1" x14ac:dyDescent="0.3">
      <c r="B29" s="84" t="s">
        <v>197</v>
      </c>
      <c r="C29" s="133" t="s">
        <v>524</v>
      </c>
      <c r="D29" s="133" t="s">
        <v>525</v>
      </c>
      <c r="E29" s="133" t="s">
        <v>505</v>
      </c>
      <c r="F29" s="133" t="s">
        <v>526</v>
      </c>
    </row>
    <row r="30" spans="2:16" ht="15" thickTop="1" x14ac:dyDescent="0.2">
      <c r="B30" s="143" t="s">
        <v>207</v>
      </c>
      <c r="C30" s="135">
        <v>47.4</v>
      </c>
      <c r="D30" s="135">
        <v>46.2</v>
      </c>
      <c r="E30" s="135">
        <v>93.6</v>
      </c>
      <c r="F30" s="146">
        <v>0.493589743589744</v>
      </c>
    </row>
    <row r="31" spans="2:16" x14ac:dyDescent="0.2">
      <c r="B31" s="144" t="s">
        <v>208</v>
      </c>
      <c r="C31" s="137">
        <v>45.4</v>
      </c>
      <c r="D31" s="137">
        <v>46.2</v>
      </c>
      <c r="E31" s="137">
        <v>91.6</v>
      </c>
      <c r="F31" s="147">
        <v>0.50436681222707402</v>
      </c>
    </row>
    <row r="32" spans="2:16" x14ac:dyDescent="0.2">
      <c r="B32" s="145" t="s">
        <v>209</v>
      </c>
      <c r="C32" s="139">
        <v>46</v>
      </c>
      <c r="D32" s="139">
        <v>47.6</v>
      </c>
      <c r="E32" s="139">
        <v>93.6</v>
      </c>
      <c r="F32" s="148">
        <v>0.50854700854700896</v>
      </c>
    </row>
    <row r="33" spans="2:6" x14ac:dyDescent="0.2">
      <c r="B33" s="144" t="s">
        <v>210</v>
      </c>
      <c r="C33" s="137">
        <v>45.4</v>
      </c>
      <c r="D33" s="137">
        <v>51</v>
      </c>
      <c r="E33" s="137">
        <v>96.4</v>
      </c>
      <c r="F33" s="147">
        <v>0.52904564315352698</v>
      </c>
    </row>
    <row r="34" spans="2:6" x14ac:dyDescent="0.2">
      <c r="B34" s="145" t="s">
        <v>211</v>
      </c>
      <c r="C34" s="139">
        <v>47</v>
      </c>
      <c r="D34" s="139">
        <v>55.4</v>
      </c>
      <c r="E34" s="139">
        <v>102.4</v>
      </c>
      <c r="F34" s="148">
        <v>0.541015625</v>
      </c>
    </row>
    <row r="35" spans="2:6" x14ac:dyDescent="0.2">
      <c r="B35" s="144" t="s">
        <v>212</v>
      </c>
      <c r="C35" s="137">
        <v>47</v>
      </c>
      <c r="D35" s="137">
        <v>57</v>
      </c>
      <c r="E35" s="137">
        <v>104</v>
      </c>
      <c r="F35" s="147">
        <v>0.54807692307692302</v>
      </c>
    </row>
    <row r="36" spans="2:6" x14ac:dyDescent="0.2">
      <c r="B36" s="145" t="s">
        <v>213</v>
      </c>
      <c r="C36" s="139">
        <v>53.8</v>
      </c>
      <c r="D36" s="139">
        <v>59.4</v>
      </c>
      <c r="E36" s="139">
        <v>113.2</v>
      </c>
      <c r="F36" s="148">
        <v>0.52473498233215499</v>
      </c>
    </row>
    <row r="37" spans="2:6" ht="30" x14ac:dyDescent="0.25">
      <c r="B37" s="140" t="s">
        <v>214</v>
      </c>
      <c r="C37" s="141">
        <v>47.4</v>
      </c>
      <c r="D37" s="141">
        <v>46.2</v>
      </c>
      <c r="E37" s="141">
        <v>93.6</v>
      </c>
      <c r="F37" s="151">
        <v>0.493589743589744</v>
      </c>
    </row>
    <row r="38" spans="2:6" x14ac:dyDescent="0.2">
      <c r="C38" s="7"/>
      <c r="D38" s="7"/>
      <c r="E38" s="7"/>
      <c r="F38" s="8"/>
    </row>
    <row r="39" spans="2:6" ht="45" customHeight="1" x14ac:dyDescent="0.2">
      <c r="B39" s="230" t="s">
        <v>203</v>
      </c>
      <c r="C39" s="227"/>
      <c r="D39" s="227"/>
      <c r="E39" s="227"/>
      <c r="F39" s="229"/>
    </row>
    <row r="40" spans="2:6" x14ac:dyDescent="0.2">
      <c r="C40" s="7"/>
      <c r="D40" s="7"/>
      <c r="E40" s="7"/>
      <c r="F40" s="8"/>
    </row>
    <row r="41" spans="2:6" x14ac:dyDescent="0.2">
      <c r="C41" s="7"/>
      <c r="D41" s="7"/>
      <c r="E41" s="7"/>
      <c r="F41" s="8"/>
    </row>
    <row r="42" spans="2:6" x14ac:dyDescent="0.2">
      <c r="C42" s="7"/>
      <c r="D42" s="7"/>
      <c r="E42" s="7"/>
      <c r="F42" s="8"/>
    </row>
    <row r="43" spans="2:6" x14ac:dyDescent="0.2">
      <c r="B43" s="1" t="str">
        <f>HYPERLINK("#'Contents'!A1", "Return to Contents Page")</f>
        <v>Return to Contents Page</v>
      </c>
      <c r="C43" s="7"/>
      <c r="D43" s="7"/>
      <c r="E43" s="7"/>
      <c r="F43" s="8"/>
    </row>
    <row r="44" spans="2:6" x14ac:dyDescent="0.2">
      <c r="C44" s="7"/>
      <c r="D44" s="7"/>
      <c r="E44" s="7"/>
      <c r="F44" s="8"/>
    </row>
    <row r="45" spans="2:6" x14ac:dyDescent="0.2">
      <c r="C45" s="7"/>
      <c r="D45" s="7"/>
      <c r="E45" s="7"/>
      <c r="F45" s="8"/>
    </row>
    <row r="46" spans="2:6" x14ac:dyDescent="0.2">
      <c r="C46" s="7"/>
      <c r="D46" s="7"/>
      <c r="E46" s="7"/>
      <c r="F46" s="8"/>
    </row>
    <row r="47" spans="2:6" x14ac:dyDescent="0.2">
      <c r="C47" s="7"/>
      <c r="D47" s="7"/>
      <c r="E47" s="7"/>
      <c r="F47" s="8"/>
    </row>
    <row r="48" spans="2:6" x14ac:dyDescent="0.2">
      <c r="C48" s="7"/>
      <c r="D48" s="7"/>
      <c r="E48" s="7"/>
      <c r="F48" s="8"/>
    </row>
  </sheetData>
  <mergeCells count="5">
    <mergeCell ref="B4:F4"/>
    <mergeCell ref="B20:F20"/>
    <mergeCell ref="B39:F39"/>
    <mergeCell ref="B26:F26"/>
    <mergeCell ref="H26:P26"/>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L49"/>
  <sheetViews>
    <sheetView showGridLines="0" workbookViewId="0"/>
  </sheetViews>
  <sheetFormatPr defaultColWidth="11" defaultRowHeight="14.25" x14ac:dyDescent="0.2"/>
  <cols>
    <col min="3" max="4" width="13.75" customWidth="1"/>
    <col min="5" max="5" width="16.75" customWidth="1"/>
    <col min="6" max="6" width="13.75" customWidth="1"/>
  </cols>
  <sheetData>
    <row r="1" spans="2:8" ht="15" x14ac:dyDescent="0.25">
      <c r="B1" s="6" t="s">
        <v>529</v>
      </c>
    </row>
    <row r="3" spans="2:8" x14ac:dyDescent="0.2">
      <c r="B3" t="s">
        <v>169</v>
      </c>
    </row>
    <row r="4" spans="2:8" ht="15" x14ac:dyDescent="0.25">
      <c r="B4" s="222" t="s">
        <v>170</v>
      </c>
      <c r="C4" s="223"/>
      <c r="D4" s="223"/>
      <c r="E4" s="223"/>
      <c r="F4" s="223"/>
      <c r="H4" s="6" t="s">
        <v>532</v>
      </c>
    </row>
    <row r="5" spans="2:8" x14ac:dyDescent="0.2">
      <c r="B5" t="s">
        <v>196</v>
      </c>
    </row>
    <row r="7" spans="2:8" ht="15.75" thickBot="1" x14ac:dyDescent="0.3">
      <c r="B7" s="110" t="s">
        <v>197</v>
      </c>
      <c r="C7" s="111" t="s">
        <v>244</v>
      </c>
      <c r="D7" s="111" t="s">
        <v>530</v>
      </c>
      <c r="E7" s="111" t="s">
        <v>531</v>
      </c>
      <c r="F7" s="111" t="s">
        <v>505</v>
      </c>
    </row>
    <row r="8" spans="2:8" ht="15" thickTop="1" x14ac:dyDescent="0.2">
      <c r="B8" s="112">
        <v>2014</v>
      </c>
      <c r="C8" s="113">
        <v>420</v>
      </c>
      <c r="D8" s="113">
        <v>332</v>
      </c>
      <c r="E8" s="113">
        <v>37</v>
      </c>
      <c r="F8" s="113">
        <v>789</v>
      </c>
    </row>
    <row r="9" spans="2:8" x14ac:dyDescent="0.2">
      <c r="B9" s="114">
        <v>2015</v>
      </c>
      <c r="C9" s="115">
        <v>402</v>
      </c>
      <c r="D9" s="115">
        <v>332</v>
      </c>
      <c r="E9" s="115">
        <v>51</v>
      </c>
      <c r="F9" s="115">
        <v>785</v>
      </c>
    </row>
    <row r="10" spans="2:8" x14ac:dyDescent="0.2">
      <c r="B10" s="116">
        <v>2016</v>
      </c>
      <c r="C10" s="117">
        <v>514</v>
      </c>
      <c r="D10" s="117">
        <v>349</v>
      </c>
      <c r="E10" s="117">
        <v>33</v>
      </c>
      <c r="F10" s="117">
        <v>896</v>
      </c>
    </row>
    <row r="11" spans="2:8" x14ac:dyDescent="0.2">
      <c r="B11" s="114">
        <v>2017</v>
      </c>
      <c r="C11" s="115">
        <v>446</v>
      </c>
      <c r="D11" s="115">
        <v>343</v>
      </c>
      <c r="E11" s="115">
        <v>52</v>
      </c>
      <c r="F11" s="115">
        <v>841</v>
      </c>
    </row>
    <row r="12" spans="2:8" x14ac:dyDescent="0.2">
      <c r="B12" s="116">
        <v>2018</v>
      </c>
      <c r="C12" s="117">
        <v>419</v>
      </c>
      <c r="D12" s="117">
        <v>321</v>
      </c>
      <c r="E12" s="117">
        <v>45</v>
      </c>
      <c r="F12" s="117">
        <v>785</v>
      </c>
    </row>
    <row r="13" spans="2:8" x14ac:dyDescent="0.2">
      <c r="B13" s="114">
        <v>2019</v>
      </c>
      <c r="C13" s="115">
        <v>423</v>
      </c>
      <c r="D13" s="115">
        <v>343</v>
      </c>
      <c r="E13" s="115">
        <v>64</v>
      </c>
      <c r="F13" s="115">
        <v>830</v>
      </c>
    </row>
    <row r="14" spans="2:8" x14ac:dyDescent="0.2">
      <c r="B14" s="116">
        <v>2020</v>
      </c>
      <c r="C14" s="117">
        <v>368</v>
      </c>
      <c r="D14" s="117">
        <v>253</v>
      </c>
      <c r="E14" s="117">
        <v>31</v>
      </c>
      <c r="F14" s="117">
        <v>652</v>
      </c>
    </row>
    <row r="15" spans="2:8" x14ac:dyDescent="0.2">
      <c r="B15" s="114">
        <v>2021</v>
      </c>
      <c r="C15" s="115">
        <v>458</v>
      </c>
      <c r="D15" s="115">
        <v>343</v>
      </c>
      <c r="E15" s="115">
        <v>58</v>
      </c>
      <c r="F15" s="115">
        <v>859</v>
      </c>
    </row>
    <row r="16" spans="2:8" x14ac:dyDescent="0.2">
      <c r="B16" s="116">
        <v>2022</v>
      </c>
      <c r="C16" s="117">
        <v>499</v>
      </c>
      <c r="D16" s="117">
        <v>396</v>
      </c>
      <c r="E16" s="117">
        <v>70</v>
      </c>
      <c r="F16" s="117">
        <v>965</v>
      </c>
    </row>
    <row r="17" spans="2:12" x14ac:dyDescent="0.2">
      <c r="B17" s="114">
        <v>2023</v>
      </c>
      <c r="C17" s="115">
        <v>499</v>
      </c>
      <c r="D17" s="115">
        <v>401</v>
      </c>
      <c r="E17" s="115">
        <v>51</v>
      </c>
      <c r="F17" s="115">
        <v>951</v>
      </c>
    </row>
    <row r="18" spans="2:12" x14ac:dyDescent="0.2">
      <c r="B18" s="116">
        <v>2024</v>
      </c>
      <c r="C18" s="117">
        <v>555</v>
      </c>
      <c r="D18" s="117">
        <v>402</v>
      </c>
      <c r="E18" s="117">
        <v>51</v>
      </c>
      <c r="F18" s="117">
        <v>1008</v>
      </c>
    </row>
    <row r="19" spans="2:12" ht="30" customHeight="1" x14ac:dyDescent="0.25">
      <c r="B19" s="15" t="s">
        <v>202</v>
      </c>
      <c r="C19" s="16">
        <v>440.2</v>
      </c>
      <c r="D19" s="16">
        <v>335.4</v>
      </c>
      <c r="E19" s="16">
        <v>43.6</v>
      </c>
      <c r="F19" s="16">
        <v>819.2</v>
      </c>
    </row>
    <row r="20" spans="2:12" x14ac:dyDescent="0.2">
      <c r="C20" s="109"/>
      <c r="D20" s="109"/>
      <c r="E20" s="109"/>
      <c r="F20" s="109"/>
    </row>
    <row r="21" spans="2:12" ht="37.5" customHeight="1" x14ac:dyDescent="0.2">
      <c r="B21" s="230" t="s">
        <v>533</v>
      </c>
      <c r="C21" s="223"/>
      <c r="D21" s="223"/>
      <c r="E21" s="223"/>
      <c r="F21" s="223"/>
    </row>
    <row r="23" spans="2:12" x14ac:dyDescent="0.2">
      <c r="B23" s="1" t="str">
        <f>HYPERLINK("#'Contents'!A1", "Return to Contents Page")</f>
        <v>Return to Contents Page</v>
      </c>
    </row>
    <row r="26" spans="2:12" ht="15" x14ac:dyDescent="0.25">
      <c r="B26" s="6" t="s">
        <v>171</v>
      </c>
    </row>
    <row r="27" spans="2:12" ht="30" customHeight="1" x14ac:dyDescent="0.25">
      <c r="B27" s="222" t="s">
        <v>534</v>
      </c>
      <c r="C27" s="223"/>
      <c r="D27" s="223"/>
      <c r="E27" s="223"/>
      <c r="H27" s="222" t="s">
        <v>535</v>
      </c>
      <c r="I27" s="223"/>
      <c r="J27" s="223"/>
      <c r="K27" s="223"/>
      <c r="L27" s="223"/>
    </row>
    <row r="28" spans="2:12" ht="15" x14ac:dyDescent="0.25">
      <c r="B28" s="6" t="s">
        <v>196</v>
      </c>
    </row>
    <row r="30" spans="2:12" ht="15.75" thickBot="1" x14ac:dyDescent="0.3">
      <c r="B30" s="84" t="s">
        <v>197</v>
      </c>
      <c r="C30" s="133" t="s">
        <v>244</v>
      </c>
      <c r="D30" s="133" t="s">
        <v>530</v>
      </c>
      <c r="E30" s="133" t="s">
        <v>531</v>
      </c>
      <c r="F30" s="133" t="s">
        <v>505</v>
      </c>
    </row>
    <row r="31" spans="2:12" ht="15" thickTop="1" x14ac:dyDescent="0.2">
      <c r="B31" s="143" t="s">
        <v>207</v>
      </c>
      <c r="C31" s="135">
        <v>440.2</v>
      </c>
      <c r="D31" s="135">
        <v>335.4</v>
      </c>
      <c r="E31" s="135">
        <v>43.6</v>
      </c>
      <c r="F31" s="135">
        <v>819.2</v>
      </c>
    </row>
    <row r="32" spans="2:12" x14ac:dyDescent="0.2">
      <c r="B32" s="144" t="s">
        <v>208</v>
      </c>
      <c r="C32" s="137">
        <v>440.8</v>
      </c>
      <c r="D32" s="137">
        <v>337.6</v>
      </c>
      <c r="E32" s="137">
        <v>49</v>
      </c>
      <c r="F32" s="137">
        <v>827.4</v>
      </c>
    </row>
    <row r="33" spans="2:6" x14ac:dyDescent="0.2">
      <c r="B33" s="145" t="s">
        <v>209</v>
      </c>
      <c r="C33" s="139">
        <v>434</v>
      </c>
      <c r="D33" s="139">
        <v>321.8</v>
      </c>
      <c r="E33" s="139">
        <v>45</v>
      </c>
      <c r="F33" s="139">
        <v>800.8</v>
      </c>
    </row>
    <row r="34" spans="2:6" x14ac:dyDescent="0.2">
      <c r="B34" s="144" t="s">
        <v>210</v>
      </c>
      <c r="C34" s="137">
        <v>422.8</v>
      </c>
      <c r="D34" s="137">
        <v>320.60000000000002</v>
      </c>
      <c r="E34" s="137">
        <v>50</v>
      </c>
      <c r="F34" s="137">
        <v>793.4</v>
      </c>
    </row>
    <row r="35" spans="2:6" x14ac:dyDescent="0.2">
      <c r="B35" s="145" t="s">
        <v>211</v>
      </c>
      <c r="C35" s="139">
        <v>433.4</v>
      </c>
      <c r="D35" s="139">
        <v>331.2</v>
      </c>
      <c r="E35" s="139">
        <v>53.6</v>
      </c>
      <c r="F35" s="139">
        <v>818.2</v>
      </c>
    </row>
    <row r="36" spans="2:6" x14ac:dyDescent="0.2">
      <c r="B36" s="144" t="s">
        <v>212</v>
      </c>
      <c r="C36" s="137">
        <v>449.4</v>
      </c>
      <c r="D36" s="137">
        <v>347.2</v>
      </c>
      <c r="E36" s="137">
        <v>54.8</v>
      </c>
      <c r="F36" s="137">
        <v>851.4</v>
      </c>
    </row>
    <row r="37" spans="2:6" x14ac:dyDescent="0.2">
      <c r="B37" s="145" t="s">
        <v>213</v>
      </c>
      <c r="C37" s="139">
        <v>475.8</v>
      </c>
      <c r="D37" s="139">
        <v>359</v>
      </c>
      <c r="E37" s="139">
        <v>52.2</v>
      </c>
      <c r="F37" s="139">
        <v>887</v>
      </c>
    </row>
    <row r="38" spans="2:6" ht="30" x14ac:dyDescent="0.25">
      <c r="B38" s="140" t="s">
        <v>214</v>
      </c>
      <c r="C38" s="141">
        <v>440.2</v>
      </c>
      <c r="D38" s="141">
        <v>335.4</v>
      </c>
      <c r="E38" s="141">
        <v>43.6</v>
      </c>
      <c r="F38" s="142">
        <v>819.2</v>
      </c>
    </row>
    <row r="39" spans="2:6" x14ac:dyDescent="0.2">
      <c r="C39" s="7"/>
      <c r="D39" s="7"/>
      <c r="E39" s="7"/>
      <c r="F39" s="7"/>
    </row>
    <row r="40" spans="2:6" ht="37.5" customHeight="1" x14ac:dyDescent="0.2">
      <c r="B40" s="230" t="s">
        <v>533</v>
      </c>
      <c r="C40" s="227"/>
      <c r="D40" s="227"/>
      <c r="E40" s="227"/>
      <c r="F40" s="227"/>
    </row>
    <row r="41" spans="2:6" x14ac:dyDescent="0.2">
      <c r="C41" s="7"/>
      <c r="D41" s="7"/>
      <c r="E41" s="7"/>
      <c r="F41" s="7"/>
    </row>
    <row r="42" spans="2:6" x14ac:dyDescent="0.2">
      <c r="C42" s="7"/>
      <c r="D42" s="7"/>
      <c r="E42" s="7"/>
      <c r="F42" s="7"/>
    </row>
    <row r="43" spans="2:6" x14ac:dyDescent="0.2">
      <c r="C43" s="7"/>
      <c r="D43" s="7"/>
      <c r="E43" s="7"/>
      <c r="F43" s="7"/>
    </row>
    <row r="44" spans="2:6" x14ac:dyDescent="0.2">
      <c r="B44" s="1" t="str">
        <f>HYPERLINK("#'Contents'!A1", "Return to Contents Page")</f>
        <v>Return to Contents Page</v>
      </c>
      <c r="C44" s="7"/>
      <c r="D44" s="7"/>
      <c r="E44" s="7"/>
      <c r="F44" s="7"/>
    </row>
    <row r="45" spans="2:6" x14ac:dyDescent="0.2">
      <c r="C45" s="7"/>
      <c r="D45" s="7"/>
      <c r="E45" s="7"/>
      <c r="F45" s="7"/>
    </row>
    <row r="46" spans="2:6" x14ac:dyDescent="0.2">
      <c r="C46" s="7"/>
      <c r="D46" s="7"/>
      <c r="E46" s="7"/>
      <c r="F46" s="7"/>
    </row>
    <row r="47" spans="2:6" x14ac:dyDescent="0.2">
      <c r="C47" s="7"/>
      <c r="D47" s="7"/>
      <c r="E47" s="7"/>
      <c r="F47" s="7"/>
    </row>
    <row r="48" spans="2:6" x14ac:dyDescent="0.2">
      <c r="C48" s="7"/>
      <c r="D48" s="7"/>
      <c r="E48" s="7"/>
      <c r="F48" s="7"/>
    </row>
    <row r="49" spans="3:6" x14ac:dyDescent="0.2">
      <c r="C49" s="7"/>
      <c r="D49" s="7"/>
      <c r="E49" s="7"/>
      <c r="F49" s="7"/>
    </row>
  </sheetData>
  <mergeCells count="5">
    <mergeCell ref="B4:F4"/>
    <mergeCell ref="B21:F21"/>
    <mergeCell ref="B27:E27"/>
    <mergeCell ref="H27:L27"/>
    <mergeCell ref="B40:F40"/>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194</v>
      </c>
    </row>
    <row r="3" spans="2:8" x14ac:dyDescent="0.2">
      <c r="B3" t="s">
        <v>6</v>
      </c>
    </row>
    <row r="4" spans="2:8" ht="15" x14ac:dyDescent="0.25">
      <c r="B4" s="6" t="s">
        <v>195</v>
      </c>
      <c r="H4" s="6" t="s">
        <v>201</v>
      </c>
    </row>
    <row r="5" spans="2:8" x14ac:dyDescent="0.2">
      <c r="B5" t="s">
        <v>196</v>
      </c>
    </row>
    <row r="7" spans="2:8" ht="45" customHeight="1" thickBot="1" x14ac:dyDescent="0.3">
      <c r="B7" s="110" t="s">
        <v>197</v>
      </c>
      <c r="C7" s="111" t="s">
        <v>198</v>
      </c>
      <c r="D7" s="111" t="s">
        <v>199</v>
      </c>
      <c r="E7" s="111" t="s">
        <v>200</v>
      </c>
    </row>
    <row r="8" spans="2:8" ht="15" thickTop="1" x14ac:dyDescent="0.2">
      <c r="B8" s="112">
        <v>2014</v>
      </c>
      <c r="C8" s="113">
        <v>79</v>
      </c>
      <c r="D8" s="118"/>
      <c r="E8" s="118"/>
    </row>
    <row r="9" spans="2:8" x14ac:dyDescent="0.2">
      <c r="B9" s="114">
        <v>2015</v>
      </c>
      <c r="C9" s="115">
        <v>74</v>
      </c>
      <c r="D9" s="119"/>
      <c r="E9" s="119">
        <v>-6.3291139240506306E-2</v>
      </c>
    </row>
    <row r="10" spans="2:8" x14ac:dyDescent="0.2">
      <c r="B10" s="116">
        <v>2016</v>
      </c>
      <c r="C10" s="117">
        <v>68</v>
      </c>
      <c r="D10" s="120"/>
      <c r="E10" s="120">
        <v>-8.1081081081081099E-2</v>
      </c>
    </row>
    <row r="11" spans="2:8" x14ac:dyDescent="0.2">
      <c r="B11" s="114">
        <v>2017</v>
      </c>
      <c r="C11" s="115">
        <v>63</v>
      </c>
      <c r="D11" s="119"/>
      <c r="E11" s="119">
        <v>-7.3529411764705899E-2</v>
      </c>
    </row>
    <row r="12" spans="2:8" x14ac:dyDescent="0.2">
      <c r="B12" s="116">
        <v>2018</v>
      </c>
      <c r="C12" s="117">
        <v>55</v>
      </c>
      <c r="D12" s="120"/>
      <c r="E12" s="120">
        <v>-0.126984126984127</v>
      </c>
    </row>
    <row r="13" spans="2:8" x14ac:dyDescent="0.2">
      <c r="B13" s="114">
        <v>2019</v>
      </c>
      <c r="C13" s="115">
        <v>56</v>
      </c>
      <c r="D13" s="119">
        <v>-0.17404129793510301</v>
      </c>
      <c r="E13" s="119">
        <v>1.8181818181818198E-2</v>
      </c>
    </row>
    <row r="14" spans="2:8" x14ac:dyDescent="0.2">
      <c r="B14" s="116">
        <v>2020</v>
      </c>
      <c r="C14" s="117">
        <v>56</v>
      </c>
      <c r="D14" s="120">
        <v>-0.17404129793510301</v>
      </c>
      <c r="E14" s="120">
        <v>0</v>
      </c>
    </row>
    <row r="15" spans="2:8" x14ac:dyDescent="0.2">
      <c r="B15" s="114">
        <v>2021</v>
      </c>
      <c r="C15" s="115">
        <v>50</v>
      </c>
      <c r="D15" s="119">
        <v>-0.262536873156342</v>
      </c>
      <c r="E15" s="119">
        <v>-0.107142857142857</v>
      </c>
    </row>
    <row r="16" spans="2:8" x14ac:dyDescent="0.2">
      <c r="B16" s="116">
        <v>2022</v>
      </c>
      <c r="C16" s="117">
        <v>55</v>
      </c>
      <c r="D16" s="120">
        <v>-0.18879056047197601</v>
      </c>
      <c r="E16" s="120">
        <v>0.1</v>
      </c>
    </row>
    <row r="17" spans="2:12" x14ac:dyDescent="0.2">
      <c r="B17" s="114">
        <v>2023</v>
      </c>
      <c r="C17" s="115">
        <v>71</v>
      </c>
      <c r="D17" s="119">
        <v>4.71976401179941E-2</v>
      </c>
      <c r="E17" s="119">
        <v>0.29090909090909101</v>
      </c>
    </row>
    <row r="18" spans="2:12" x14ac:dyDescent="0.2">
      <c r="B18" s="116">
        <v>2024</v>
      </c>
      <c r="C18" s="117">
        <v>69</v>
      </c>
      <c r="D18" s="120">
        <v>1.7699115044247801E-2</v>
      </c>
      <c r="E18" s="120">
        <v>-2.8169014084507001E-2</v>
      </c>
    </row>
    <row r="19" spans="2:12" ht="30" customHeight="1" x14ac:dyDescent="0.25">
      <c r="B19" s="121" t="s">
        <v>202</v>
      </c>
      <c r="C19" s="122">
        <v>67.8</v>
      </c>
      <c r="D19" s="123"/>
      <c r="E19" s="14"/>
    </row>
    <row r="21" spans="2:12" x14ac:dyDescent="0.2">
      <c r="B21" s="9" t="s">
        <v>203</v>
      </c>
    </row>
    <row r="23" spans="2:12" x14ac:dyDescent="0.2">
      <c r="B23" s="1" t="str">
        <f>HYPERLINK("#'Contents'!A1", "Return to Contents Page")</f>
        <v>Return to Contents Page</v>
      </c>
    </row>
    <row r="26" spans="2:12" ht="15" x14ac:dyDescent="0.25">
      <c r="B26" s="6" t="s">
        <v>204</v>
      </c>
    </row>
    <row r="27" spans="2:12" ht="30" customHeight="1" x14ac:dyDescent="0.25">
      <c r="B27" s="222" t="s">
        <v>205</v>
      </c>
      <c r="C27" s="223"/>
      <c r="D27" s="223"/>
      <c r="E27" s="223"/>
      <c r="H27" s="222" t="s">
        <v>215</v>
      </c>
      <c r="I27" s="223"/>
      <c r="J27" s="223"/>
      <c r="K27" s="223"/>
      <c r="L27" s="223"/>
    </row>
    <row r="28" spans="2:12" ht="15" x14ac:dyDescent="0.25">
      <c r="B28" s="6" t="s">
        <v>196</v>
      </c>
    </row>
    <row r="30" spans="2:12" ht="45" customHeight="1" thickBot="1" x14ac:dyDescent="0.3">
      <c r="B30" s="110" t="s">
        <v>197</v>
      </c>
      <c r="C30" s="111" t="s">
        <v>198</v>
      </c>
      <c r="D30" s="111" t="s">
        <v>199</v>
      </c>
      <c r="E30" s="111" t="s">
        <v>206</v>
      </c>
    </row>
    <row r="31" spans="2:12" ht="15" thickTop="1" x14ac:dyDescent="0.2">
      <c r="B31" s="124" t="s">
        <v>207</v>
      </c>
      <c r="C31" s="113">
        <v>67.8</v>
      </c>
      <c r="D31" s="118"/>
      <c r="E31" s="118"/>
    </row>
    <row r="32" spans="2:12" x14ac:dyDescent="0.2">
      <c r="B32" s="125" t="s">
        <v>208</v>
      </c>
      <c r="C32" s="115">
        <v>63.2</v>
      </c>
      <c r="D32" s="119">
        <v>-6.7846607669616393E-2</v>
      </c>
      <c r="E32" s="119">
        <v>-6.7846607669616393E-2</v>
      </c>
    </row>
    <row r="33" spans="2:5" x14ac:dyDescent="0.2">
      <c r="B33" s="126" t="s">
        <v>209</v>
      </c>
      <c r="C33" s="117">
        <v>59.6</v>
      </c>
      <c r="D33" s="120">
        <v>-0.12094395280236001</v>
      </c>
      <c r="E33" s="120">
        <v>-5.6962025316455701E-2</v>
      </c>
    </row>
    <row r="34" spans="2:5" x14ac:dyDescent="0.2">
      <c r="B34" s="125" t="s">
        <v>210</v>
      </c>
      <c r="C34" s="115">
        <v>56</v>
      </c>
      <c r="D34" s="119">
        <v>-0.17404129793510301</v>
      </c>
      <c r="E34" s="119">
        <v>-6.0402684563758399E-2</v>
      </c>
    </row>
    <row r="35" spans="2:5" x14ac:dyDescent="0.2">
      <c r="B35" s="126" t="s">
        <v>211</v>
      </c>
      <c r="C35" s="117">
        <v>54.4</v>
      </c>
      <c r="D35" s="120">
        <v>-0.1976401179941</v>
      </c>
      <c r="E35" s="120">
        <v>-2.8571428571428598E-2</v>
      </c>
    </row>
    <row r="36" spans="2:5" x14ac:dyDescent="0.2">
      <c r="B36" s="125" t="s">
        <v>212</v>
      </c>
      <c r="C36" s="115">
        <v>57.6</v>
      </c>
      <c r="D36" s="119">
        <v>-0.15044247787610601</v>
      </c>
      <c r="E36" s="119">
        <v>5.8823529411764802E-2</v>
      </c>
    </row>
    <row r="37" spans="2:5" x14ac:dyDescent="0.2">
      <c r="B37" s="126" t="s">
        <v>213</v>
      </c>
      <c r="C37" s="117">
        <v>60.2</v>
      </c>
      <c r="D37" s="120">
        <v>-0.112094395280236</v>
      </c>
      <c r="E37" s="120">
        <v>4.5138888888888902E-2</v>
      </c>
    </row>
    <row r="38" spans="2:5" ht="30" x14ac:dyDescent="0.25">
      <c r="B38" s="121" t="s">
        <v>214</v>
      </c>
      <c r="C38" s="122">
        <v>67.8</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2">
    <mergeCell ref="B27:E27"/>
    <mergeCell ref="H27:L27"/>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S48"/>
  <sheetViews>
    <sheetView showGridLines="0" topLeftCell="A10" workbookViewId="0">
      <selection activeCell="E31" sqref="E31:G37"/>
    </sheetView>
  </sheetViews>
  <sheetFormatPr defaultColWidth="11" defaultRowHeight="14.25" x14ac:dyDescent="0.2"/>
  <cols>
    <col min="3" max="3" width="12.75" customWidth="1"/>
    <col min="5" max="5" width="13.5" customWidth="1"/>
  </cols>
  <sheetData>
    <row r="1" spans="2:10" ht="15" x14ac:dyDescent="0.25">
      <c r="B1" s="6" t="s">
        <v>536</v>
      </c>
    </row>
    <row r="3" spans="2:10" x14ac:dyDescent="0.2">
      <c r="B3" t="s">
        <v>173</v>
      </c>
    </row>
    <row r="4" spans="2:10" ht="30" customHeight="1" x14ac:dyDescent="0.25">
      <c r="B4" s="222" t="s">
        <v>174</v>
      </c>
      <c r="C4" s="223"/>
      <c r="D4" s="223"/>
      <c r="E4" s="223"/>
      <c r="F4" s="223"/>
      <c r="G4" s="223"/>
      <c r="H4" s="223"/>
      <c r="J4" s="6" t="s">
        <v>541</v>
      </c>
    </row>
    <row r="5" spans="2:10" x14ac:dyDescent="0.2">
      <c r="B5" t="s">
        <v>196</v>
      </c>
    </row>
    <row r="7" spans="2:10" ht="30" customHeight="1" thickBot="1" x14ac:dyDescent="0.3">
      <c r="B7" s="110" t="s">
        <v>197</v>
      </c>
      <c r="C7" s="111" t="s">
        <v>537</v>
      </c>
      <c r="D7" s="111" t="s">
        <v>538</v>
      </c>
      <c r="E7" s="111" t="s">
        <v>256</v>
      </c>
      <c r="F7" s="111" t="s">
        <v>539</v>
      </c>
      <c r="G7" s="111" t="s">
        <v>540</v>
      </c>
      <c r="H7" s="111" t="s">
        <v>505</v>
      </c>
    </row>
    <row r="8" spans="2:10" ht="15" thickTop="1" x14ac:dyDescent="0.2">
      <c r="B8" s="112">
        <v>2014</v>
      </c>
      <c r="C8" s="113">
        <v>16</v>
      </c>
      <c r="D8" s="113">
        <v>47</v>
      </c>
      <c r="E8" s="113" t="s">
        <v>662</v>
      </c>
      <c r="F8" s="113">
        <v>5</v>
      </c>
      <c r="G8" s="113" t="s">
        <v>662</v>
      </c>
      <c r="H8" s="113">
        <v>72</v>
      </c>
    </row>
    <row r="9" spans="2:10" x14ac:dyDescent="0.2">
      <c r="B9" s="114">
        <v>2015</v>
      </c>
      <c r="C9" s="115">
        <v>22</v>
      </c>
      <c r="D9" s="115">
        <v>46</v>
      </c>
      <c r="E9" s="115" t="s">
        <v>662</v>
      </c>
      <c r="F9" s="115" t="s">
        <v>662</v>
      </c>
      <c r="G9" s="115">
        <v>0</v>
      </c>
      <c r="H9" s="115">
        <v>72</v>
      </c>
    </row>
    <row r="10" spans="2:10" x14ac:dyDescent="0.2">
      <c r="B10" s="116">
        <v>2016</v>
      </c>
      <c r="C10" s="117">
        <v>18</v>
      </c>
      <c r="D10" s="117">
        <v>62</v>
      </c>
      <c r="E10" s="117">
        <v>0</v>
      </c>
      <c r="F10" s="117">
        <v>8</v>
      </c>
      <c r="G10" s="117">
        <v>0</v>
      </c>
      <c r="H10" s="117">
        <v>88</v>
      </c>
    </row>
    <row r="11" spans="2:10" x14ac:dyDescent="0.2">
      <c r="B11" s="114">
        <v>2017</v>
      </c>
      <c r="C11" s="115">
        <v>13</v>
      </c>
      <c r="D11" s="115">
        <v>62</v>
      </c>
      <c r="E11" s="115">
        <v>0</v>
      </c>
      <c r="F11" s="115">
        <v>4</v>
      </c>
      <c r="G11" s="115">
        <v>0</v>
      </c>
      <c r="H11" s="115">
        <v>79</v>
      </c>
    </row>
    <row r="12" spans="2:10" x14ac:dyDescent="0.2">
      <c r="B12" s="116">
        <v>2018</v>
      </c>
      <c r="C12" s="117">
        <v>14</v>
      </c>
      <c r="D12" s="117">
        <v>50</v>
      </c>
      <c r="E12" s="117">
        <v>3</v>
      </c>
      <c r="F12" s="117">
        <v>3</v>
      </c>
      <c r="G12" s="117">
        <v>2</v>
      </c>
      <c r="H12" s="117">
        <v>72</v>
      </c>
    </row>
    <row r="13" spans="2:10" x14ac:dyDescent="0.2">
      <c r="B13" s="114">
        <v>2019</v>
      </c>
      <c r="C13" s="115">
        <v>13</v>
      </c>
      <c r="D13" s="115">
        <v>48</v>
      </c>
      <c r="E13" s="115">
        <v>2</v>
      </c>
      <c r="F13" s="115">
        <v>4</v>
      </c>
      <c r="G13" s="115">
        <v>0</v>
      </c>
      <c r="H13" s="115">
        <v>67</v>
      </c>
    </row>
    <row r="14" spans="2:10" x14ac:dyDescent="0.2">
      <c r="B14" s="116">
        <v>2020</v>
      </c>
      <c r="C14" s="117">
        <v>8</v>
      </c>
      <c r="D14" s="117">
        <v>31</v>
      </c>
      <c r="E14" s="117">
        <v>0</v>
      </c>
      <c r="F14" s="117" t="s">
        <v>662</v>
      </c>
      <c r="G14" s="117" t="s">
        <v>662</v>
      </c>
      <c r="H14" s="117">
        <v>44</v>
      </c>
    </row>
    <row r="15" spans="2:10" x14ac:dyDescent="0.2">
      <c r="B15" s="114">
        <v>2021</v>
      </c>
      <c r="C15" s="115">
        <v>18</v>
      </c>
      <c r="D15" s="115">
        <v>49</v>
      </c>
      <c r="E15" s="115" t="s">
        <v>662</v>
      </c>
      <c r="F15" s="115">
        <v>4</v>
      </c>
      <c r="G15" s="115" t="s">
        <v>662</v>
      </c>
      <c r="H15" s="115">
        <v>75</v>
      </c>
    </row>
    <row r="16" spans="2:10" x14ac:dyDescent="0.2">
      <c r="B16" s="116">
        <v>2022</v>
      </c>
      <c r="C16" s="117">
        <v>19</v>
      </c>
      <c r="D16" s="117">
        <v>63</v>
      </c>
      <c r="E16" s="117" t="s">
        <v>662</v>
      </c>
      <c r="F16" s="117" t="s">
        <v>662</v>
      </c>
      <c r="G16" s="117">
        <v>0</v>
      </c>
      <c r="H16" s="117">
        <v>85</v>
      </c>
    </row>
    <row r="17" spans="2:19" x14ac:dyDescent="0.2">
      <c r="B17" s="114">
        <v>2023</v>
      </c>
      <c r="C17" s="115">
        <v>24</v>
      </c>
      <c r="D17" s="115">
        <v>62</v>
      </c>
      <c r="E17" s="115">
        <v>2</v>
      </c>
      <c r="F17" s="115">
        <v>2</v>
      </c>
      <c r="G17" s="115">
        <v>3</v>
      </c>
      <c r="H17" s="115">
        <v>93</v>
      </c>
    </row>
    <row r="18" spans="2:19" x14ac:dyDescent="0.2">
      <c r="B18" s="116">
        <v>2024</v>
      </c>
      <c r="C18" s="117">
        <v>13</v>
      </c>
      <c r="D18" s="117">
        <v>64</v>
      </c>
      <c r="E18" s="117" t="s">
        <v>662</v>
      </c>
      <c r="F18" s="117">
        <v>4</v>
      </c>
      <c r="G18" s="117" t="s">
        <v>662</v>
      </c>
      <c r="H18" s="117">
        <v>85</v>
      </c>
      <c r="I18" s="109"/>
    </row>
    <row r="19" spans="2:19" ht="30" customHeight="1" x14ac:dyDescent="0.25">
      <c r="B19" s="15" t="s">
        <v>202</v>
      </c>
      <c r="C19" s="16">
        <v>16.600000000000001</v>
      </c>
      <c r="D19" s="16">
        <v>53.4</v>
      </c>
      <c r="E19" s="16">
        <v>1.4</v>
      </c>
      <c r="F19" s="16">
        <v>4.5999999999999996</v>
      </c>
      <c r="G19" s="16">
        <v>0.6</v>
      </c>
      <c r="H19" s="16">
        <v>76.599999999999994</v>
      </c>
    </row>
    <row r="20" spans="2:19" x14ac:dyDescent="0.2">
      <c r="C20" s="109"/>
      <c r="D20" s="109"/>
    </row>
    <row r="21" spans="2:19" ht="26.25" customHeight="1" x14ac:dyDescent="0.2">
      <c r="B21" s="230" t="s">
        <v>542</v>
      </c>
      <c r="C21" s="223"/>
      <c r="D21" s="223"/>
      <c r="E21" s="223"/>
      <c r="F21" s="223"/>
      <c r="G21" s="223"/>
    </row>
    <row r="23" spans="2:19" x14ac:dyDescent="0.2">
      <c r="B23" s="1" t="str">
        <f>HYPERLINK("#'Contents'!A1", "Return to Contents Page")</f>
        <v>Return to Contents Page</v>
      </c>
    </row>
    <row r="26" spans="2:19" ht="15" x14ac:dyDescent="0.25">
      <c r="B26" s="6" t="s">
        <v>175</v>
      </c>
    </row>
    <row r="27" spans="2:19" ht="30" customHeight="1" x14ac:dyDescent="0.25">
      <c r="B27" s="222" t="s">
        <v>543</v>
      </c>
      <c r="C27" s="223"/>
      <c r="D27" s="223"/>
      <c r="E27" s="223"/>
      <c r="F27" s="223"/>
      <c r="G27" s="223"/>
      <c r="H27" s="223"/>
      <c r="J27" s="222" t="s">
        <v>545</v>
      </c>
      <c r="K27" s="223"/>
      <c r="L27" s="223"/>
      <c r="M27" s="223"/>
      <c r="N27" s="223"/>
      <c r="O27" s="223"/>
      <c r="P27" s="223"/>
      <c r="Q27" s="223"/>
      <c r="R27" s="223"/>
      <c r="S27" s="223"/>
    </row>
    <row r="28" spans="2:19" ht="15" x14ac:dyDescent="0.25">
      <c r="B28" s="6" t="s">
        <v>196</v>
      </c>
    </row>
    <row r="30" spans="2:19" ht="45.75" thickBot="1" x14ac:dyDescent="0.3">
      <c r="B30" s="84" t="s">
        <v>197</v>
      </c>
      <c r="C30" s="133" t="s">
        <v>544</v>
      </c>
      <c r="D30" s="133" t="s">
        <v>538</v>
      </c>
      <c r="E30" s="133" t="s">
        <v>256</v>
      </c>
      <c r="F30" s="133" t="s">
        <v>539</v>
      </c>
      <c r="G30" s="133" t="s">
        <v>540</v>
      </c>
      <c r="H30" s="133" t="s">
        <v>505</v>
      </c>
    </row>
    <row r="31" spans="2:19" ht="15" thickTop="1" x14ac:dyDescent="0.2">
      <c r="B31" s="143" t="s">
        <v>207</v>
      </c>
      <c r="C31" s="135">
        <v>16.600000000000001</v>
      </c>
      <c r="D31" s="135">
        <v>53.4</v>
      </c>
      <c r="E31" s="135" t="s">
        <v>662</v>
      </c>
      <c r="F31" s="135" t="s">
        <v>662</v>
      </c>
      <c r="G31" s="135" t="s">
        <v>662</v>
      </c>
      <c r="H31" s="135">
        <v>76.599999999999994</v>
      </c>
    </row>
    <row r="32" spans="2:19" x14ac:dyDescent="0.2">
      <c r="B32" s="144" t="s">
        <v>208</v>
      </c>
      <c r="C32" s="137">
        <v>16</v>
      </c>
      <c r="D32" s="137">
        <v>53.6</v>
      </c>
      <c r="E32" s="137" t="s">
        <v>662</v>
      </c>
      <c r="F32" s="137" t="s">
        <v>662</v>
      </c>
      <c r="G32" s="137" t="s">
        <v>662</v>
      </c>
      <c r="H32" s="137">
        <v>75.599999999999994</v>
      </c>
    </row>
    <row r="33" spans="2:9" x14ac:dyDescent="0.2">
      <c r="B33" s="145" t="s">
        <v>209</v>
      </c>
      <c r="C33" s="139">
        <v>13.2</v>
      </c>
      <c r="D33" s="139">
        <v>50.6</v>
      </c>
      <c r="E33" s="139" t="s">
        <v>662</v>
      </c>
      <c r="F33" s="139" t="s">
        <v>662</v>
      </c>
      <c r="G33" s="139" t="s">
        <v>662</v>
      </c>
      <c r="H33" s="139">
        <v>70</v>
      </c>
    </row>
    <row r="34" spans="2:9" x14ac:dyDescent="0.2">
      <c r="B34" s="144" t="s">
        <v>210</v>
      </c>
      <c r="C34" s="137">
        <v>13.2</v>
      </c>
      <c r="D34" s="137">
        <v>48</v>
      </c>
      <c r="E34" s="137" t="s">
        <v>662</v>
      </c>
      <c r="F34" s="137" t="s">
        <v>662</v>
      </c>
      <c r="G34" s="137" t="s">
        <v>662</v>
      </c>
      <c r="H34" s="137">
        <v>67.400000000000006</v>
      </c>
    </row>
    <row r="35" spans="2:9" x14ac:dyDescent="0.2">
      <c r="B35" s="145" t="s">
        <v>211</v>
      </c>
      <c r="C35" s="139">
        <v>14.4</v>
      </c>
      <c r="D35" s="139">
        <v>48.2</v>
      </c>
      <c r="E35" s="139" t="s">
        <v>662</v>
      </c>
      <c r="F35" s="139" t="s">
        <v>662</v>
      </c>
      <c r="G35" s="139" t="s">
        <v>662</v>
      </c>
      <c r="H35" s="139">
        <v>68.599999999999994</v>
      </c>
    </row>
    <row r="36" spans="2:9" x14ac:dyDescent="0.2">
      <c r="B36" s="144" t="s">
        <v>212</v>
      </c>
      <c r="C36" s="137">
        <v>16.399999999999999</v>
      </c>
      <c r="D36" s="137">
        <v>50.6</v>
      </c>
      <c r="E36" s="137" t="s">
        <v>662</v>
      </c>
      <c r="F36" s="137" t="s">
        <v>662</v>
      </c>
      <c r="G36" s="137" t="s">
        <v>662</v>
      </c>
      <c r="H36" s="137">
        <v>72.8</v>
      </c>
    </row>
    <row r="37" spans="2:9" x14ac:dyDescent="0.2">
      <c r="B37" s="145" t="s">
        <v>213</v>
      </c>
      <c r="C37" s="139">
        <v>16.399999999999999</v>
      </c>
      <c r="D37" s="139">
        <v>53.8</v>
      </c>
      <c r="E37" s="139" t="s">
        <v>662</v>
      </c>
      <c r="F37" s="139" t="s">
        <v>662</v>
      </c>
      <c r="G37" s="139" t="s">
        <v>662</v>
      </c>
      <c r="H37" s="139">
        <v>76.400000000000006</v>
      </c>
      <c r="I37" s="109">
        <f>(H37-H38)/H38</f>
        <v>-2.610966057441105E-3</v>
      </c>
    </row>
    <row r="38" spans="2:9" ht="30" customHeight="1" x14ac:dyDescent="0.25">
      <c r="B38" s="152" t="s">
        <v>202</v>
      </c>
      <c r="C38" s="153">
        <v>16.600000000000001</v>
      </c>
      <c r="D38" s="153">
        <v>53.4</v>
      </c>
      <c r="E38" s="153">
        <v>1.4</v>
      </c>
      <c r="F38" s="153">
        <v>4.5999999999999996</v>
      </c>
      <c r="G38" s="153">
        <v>0.6</v>
      </c>
      <c r="H38" s="154">
        <v>76.599999999999994</v>
      </c>
    </row>
    <row r="39" spans="2:9" ht="26.25" customHeight="1" x14ac:dyDescent="0.2">
      <c r="B39" s="230" t="s">
        <v>542</v>
      </c>
      <c r="C39" s="227"/>
      <c r="D39" s="227"/>
      <c r="E39" s="227"/>
      <c r="F39" s="227"/>
      <c r="G39" s="227"/>
      <c r="H39" s="227"/>
    </row>
    <row r="40" spans="2:9" x14ac:dyDescent="0.2">
      <c r="C40" s="7"/>
      <c r="D40" s="7"/>
      <c r="E40" s="7"/>
      <c r="F40" s="7"/>
      <c r="G40" s="7"/>
      <c r="H40" s="7"/>
    </row>
    <row r="41" spans="2:9" x14ac:dyDescent="0.2">
      <c r="C41" s="7"/>
      <c r="D41" s="7"/>
      <c r="E41" s="7"/>
      <c r="F41" s="7"/>
      <c r="G41" s="7"/>
      <c r="H41" s="7"/>
    </row>
    <row r="42" spans="2:9" x14ac:dyDescent="0.2">
      <c r="C42" s="7"/>
      <c r="D42" s="7"/>
      <c r="E42" s="7"/>
      <c r="F42" s="7"/>
      <c r="G42" s="7"/>
      <c r="H42" s="7"/>
    </row>
    <row r="43" spans="2:9" x14ac:dyDescent="0.2">
      <c r="B43" s="1" t="str">
        <f>HYPERLINK("#'Contents'!A1", "Return to Contents Page")</f>
        <v>Return to Contents Page</v>
      </c>
      <c r="C43" s="7"/>
      <c r="D43" s="7"/>
      <c r="E43" s="7"/>
      <c r="F43" s="7"/>
      <c r="G43" s="7"/>
      <c r="H43" s="7"/>
    </row>
    <row r="44" spans="2:9" x14ac:dyDescent="0.2">
      <c r="C44" s="7"/>
      <c r="D44" s="7"/>
      <c r="E44" s="7"/>
      <c r="F44" s="7"/>
      <c r="G44" s="7"/>
      <c r="H44" s="7"/>
    </row>
    <row r="45" spans="2:9" x14ac:dyDescent="0.2">
      <c r="C45" s="7"/>
      <c r="D45" s="7"/>
      <c r="E45" s="7"/>
      <c r="F45" s="7"/>
      <c r="G45" s="7"/>
      <c r="H45" s="7"/>
    </row>
    <row r="46" spans="2:9" x14ac:dyDescent="0.2">
      <c r="C46" s="7"/>
      <c r="D46" s="7"/>
      <c r="E46" s="7"/>
      <c r="F46" s="7"/>
      <c r="G46" s="7"/>
      <c r="H46" s="7"/>
    </row>
    <row r="47" spans="2:9" x14ac:dyDescent="0.2">
      <c r="C47" s="7"/>
      <c r="D47" s="7"/>
      <c r="E47" s="7"/>
      <c r="F47" s="7"/>
      <c r="G47" s="7"/>
      <c r="H47" s="7"/>
    </row>
    <row r="48" spans="2:9" x14ac:dyDescent="0.2">
      <c r="C48" s="7"/>
      <c r="D48" s="7"/>
      <c r="E48" s="7"/>
      <c r="F48" s="7"/>
      <c r="G48" s="7"/>
      <c r="H48" s="7"/>
    </row>
  </sheetData>
  <mergeCells count="5">
    <mergeCell ref="B4:H4"/>
    <mergeCell ref="B21:G21"/>
    <mergeCell ref="B39:H39"/>
    <mergeCell ref="B27:H27"/>
    <mergeCell ref="J27:S27"/>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Q24"/>
  <sheetViews>
    <sheetView showGridLines="0" workbookViewId="0">
      <selection sqref="A1:XFD1048576"/>
    </sheetView>
  </sheetViews>
  <sheetFormatPr defaultColWidth="9" defaultRowHeight="14.25" x14ac:dyDescent="0.2"/>
  <cols>
    <col min="1" max="2" width="9" style="158"/>
    <col min="3" max="3" width="11.875" style="158" customWidth="1"/>
    <col min="4" max="4" width="12.625" style="158" customWidth="1"/>
    <col min="5" max="16384" width="9" style="158"/>
  </cols>
  <sheetData>
    <row r="1" spans="2:17" ht="15" x14ac:dyDescent="0.25">
      <c r="B1" s="157" t="s">
        <v>689</v>
      </c>
    </row>
    <row r="3" spans="2:17" x14ac:dyDescent="0.2">
      <c r="B3" s="158" t="s">
        <v>177</v>
      </c>
    </row>
    <row r="4" spans="2:17" ht="15" x14ac:dyDescent="0.25">
      <c r="B4" s="262" t="s">
        <v>690</v>
      </c>
      <c r="C4" s="263"/>
      <c r="D4" s="263"/>
      <c r="E4" s="263"/>
      <c r="F4" s="263"/>
      <c r="G4" s="263"/>
      <c r="H4" s="263"/>
      <c r="K4" s="262" t="s">
        <v>690</v>
      </c>
      <c r="L4" s="263"/>
      <c r="M4" s="263"/>
      <c r="N4" s="263"/>
      <c r="O4" s="263"/>
      <c r="P4" s="263"/>
      <c r="Q4" s="263"/>
    </row>
    <row r="5" spans="2:17" x14ac:dyDescent="0.2">
      <c r="B5" s="160" t="s">
        <v>667</v>
      </c>
    </row>
    <row r="7" spans="2:17" ht="30.75" thickBot="1" x14ac:dyDescent="0.3">
      <c r="B7" s="161" t="s">
        <v>197</v>
      </c>
      <c r="C7" s="161" t="s">
        <v>691</v>
      </c>
      <c r="D7" s="161" t="s">
        <v>692</v>
      </c>
      <c r="E7" s="161" t="s">
        <v>693</v>
      </c>
      <c r="F7" s="161" t="s">
        <v>694</v>
      </c>
      <c r="G7" s="161" t="s">
        <v>695</v>
      </c>
    </row>
    <row r="8" spans="2:17" x14ac:dyDescent="0.2">
      <c r="B8" s="162" t="s">
        <v>675</v>
      </c>
      <c r="C8" s="187">
        <v>0.79767513930475376</v>
      </c>
      <c r="D8" s="187">
        <v>0.93654132452695482</v>
      </c>
      <c r="E8" s="187">
        <v>0.73383147286821715</v>
      </c>
      <c r="F8" s="187">
        <v>0.7232548795461281</v>
      </c>
      <c r="G8" s="187">
        <v>0.83252121085157638</v>
      </c>
    </row>
    <row r="9" spans="2:17" x14ac:dyDescent="0.2">
      <c r="B9" s="167" t="s">
        <v>676</v>
      </c>
      <c r="C9" s="188">
        <v>0.80796905704356969</v>
      </c>
      <c r="D9" s="188">
        <v>0.93518732235506441</v>
      </c>
      <c r="E9" s="188">
        <v>0.74419386974352697</v>
      </c>
      <c r="F9" s="188">
        <v>0.74943385042249966</v>
      </c>
      <c r="G9" s="188">
        <v>0.85151570073761851</v>
      </c>
    </row>
    <row r="10" spans="2:17" x14ac:dyDescent="0.2">
      <c r="B10" s="172" t="s">
        <v>677</v>
      </c>
      <c r="C10" s="189">
        <v>0.80524426254089421</v>
      </c>
      <c r="D10" s="189">
        <v>0.93340585620675431</v>
      </c>
      <c r="E10" s="189">
        <v>0.74707168804546065</v>
      </c>
      <c r="F10" s="189">
        <v>0.75878232713599325</v>
      </c>
      <c r="G10" s="189">
        <v>0.83237134748791264</v>
      </c>
    </row>
    <row r="11" spans="2:17" x14ac:dyDescent="0.2">
      <c r="B11" s="177" t="s">
        <v>678</v>
      </c>
      <c r="C11" s="190">
        <v>0.810496529762611</v>
      </c>
      <c r="D11" s="190">
        <v>0.93619592395150264</v>
      </c>
      <c r="E11" s="190">
        <v>0.75806519702647168</v>
      </c>
      <c r="F11" s="190">
        <v>0.77098037219530091</v>
      </c>
      <c r="G11" s="190">
        <v>0.84316886865771057</v>
      </c>
    </row>
    <row r="12" spans="2:17" x14ac:dyDescent="0.2">
      <c r="B12" s="172" t="s">
        <v>679</v>
      </c>
      <c r="C12" s="189">
        <v>0.81013314130324243</v>
      </c>
      <c r="D12" s="189">
        <v>0.93274317824892028</v>
      </c>
      <c r="E12" s="189">
        <v>0.76304899284291305</v>
      </c>
      <c r="F12" s="189">
        <v>0.76856703367875645</v>
      </c>
      <c r="G12" s="189">
        <v>0.82113899441340776</v>
      </c>
    </row>
    <row r="13" spans="2:17" x14ac:dyDescent="0.2">
      <c r="B13" s="177" t="s">
        <v>680</v>
      </c>
      <c r="C13" s="190">
        <v>0.81513692638796487</v>
      </c>
      <c r="D13" s="190">
        <v>0.92950832641500225</v>
      </c>
      <c r="E13" s="190">
        <v>0.77767289575721943</v>
      </c>
      <c r="F13" s="190">
        <v>0.77781267080229588</v>
      </c>
      <c r="G13" s="190">
        <v>0.79684679184425755</v>
      </c>
    </row>
    <row r="14" spans="2:17" x14ac:dyDescent="0.2">
      <c r="B14" s="172" t="s">
        <v>681</v>
      </c>
      <c r="C14" s="189">
        <v>0.82005021882368823</v>
      </c>
      <c r="D14" s="189">
        <v>0.93216721698191329</v>
      </c>
      <c r="E14" s="189">
        <v>0.78150652892972805</v>
      </c>
      <c r="F14" s="189">
        <v>0.79274120364094092</v>
      </c>
      <c r="G14" s="189">
        <v>0.82282310842744866</v>
      </c>
    </row>
    <row r="15" spans="2:17" x14ac:dyDescent="0.2">
      <c r="B15" s="177" t="s">
        <v>682</v>
      </c>
      <c r="C15" s="190">
        <v>0.83100741669724465</v>
      </c>
      <c r="D15" s="190">
        <v>0.89070063694267521</v>
      </c>
      <c r="E15" s="190">
        <v>0.7805112543829883</v>
      </c>
      <c r="F15" s="190">
        <v>0.78546583850931673</v>
      </c>
      <c r="G15" s="190">
        <v>0.83136792452830188</v>
      </c>
    </row>
    <row r="16" spans="2:17" x14ac:dyDescent="0.2">
      <c r="B16" s="172" t="s">
        <v>683</v>
      </c>
      <c r="C16" s="189">
        <v>0.77121287374590242</v>
      </c>
      <c r="D16" s="189">
        <v>0.91521183142444118</v>
      </c>
      <c r="E16" s="189">
        <v>0.73273694390715671</v>
      </c>
      <c r="F16" s="189">
        <v>0.79920625564855197</v>
      </c>
      <c r="G16" s="189">
        <v>0.80830579106193423</v>
      </c>
    </row>
    <row r="17" spans="2:7" x14ac:dyDescent="0.2">
      <c r="B17" s="177" t="s">
        <v>684</v>
      </c>
      <c r="C17" s="190">
        <v>0.82533742189053871</v>
      </c>
      <c r="D17" s="190">
        <v>0.93342104026687966</v>
      </c>
      <c r="E17" s="190">
        <v>0.77626430952035941</v>
      </c>
      <c r="F17" s="190">
        <v>0.81947213140897857</v>
      </c>
      <c r="G17" s="190">
        <v>0.83127802690582964</v>
      </c>
    </row>
    <row r="18" spans="2:7" x14ac:dyDescent="0.2">
      <c r="B18" s="172" t="s">
        <v>685</v>
      </c>
      <c r="C18" s="189">
        <v>0.8256014012895746</v>
      </c>
      <c r="D18" s="189">
        <v>0.93779882096272571</v>
      </c>
      <c r="E18" s="189">
        <v>0.77619526362823954</v>
      </c>
      <c r="F18" s="189">
        <v>0.82901344565041313</v>
      </c>
      <c r="G18" s="189">
        <v>0.82728393370771125</v>
      </c>
    </row>
    <row r="19" spans="2:7" x14ac:dyDescent="0.2">
      <c r="B19" s="177" t="s">
        <v>686</v>
      </c>
      <c r="C19" s="190">
        <v>0.81200000000000006</v>
      </c>
      <c r="D19" s="190">
        <v>0.94099999999999995</v>
      </c>
      <c r="E19" s="190">
        <v>0.78100000000000003</v>
      </c>
      <c r="F19" s="190">
        <v>0.84299999999999997</v>
      </c>
      <c r="G19" s="190">
        <v>0.83799999999999997</v>
      </c>
    </row>
    <row r="20" spans="2:7" ht="30" x14ac:dyDescent="0.25">
      <c r="B20" s="191" t="s">
        <v>687</v>
      </c>
      <c r="C20" s="192">
        <f>C8</f>
        <v>0.79767513930475376</v>
      </c>
      <c r="D20" s="192">
        <f t="shared" ref="D20:G20" si="0">D8</f>
        <v>0.93654132452695482</v>
      </c>
      <c r="E20" s="192">
        <f t="shared" si="0"/>
        <v>0.73383147286821715</v>
      </c>
      <c r="F20" s="192">
        <f t="shared" si="0"/>
        <v>0.7232548795461281</v>
      </c>
      <c r="G20" s="192">
        <f t="shared" si="0"/>
        <v>0.83252121085157638</v>
      </c>
    </row>
    <row r="22" spans="2:7" x14ac:dyDescent="0.2">
      <c r="B22" s="264" t="s">
        <v>696</v>
      </c>
      <c r="C22" s="223"/>
      <c r="D22" s="223"/>
      <c r="E22" s="223"/>
      <c r="F22" s="223"/>
      <c r="G22" s="223"/>
    </row>
    <row r="24" spans="2:7" x14ac:dyDescent="0.2">
      <c r="B24" s="186" t="str">
        <f>HYPERLINK("#'Contents'!A1", "Return to Contents Page")</f>
        <v>Return to Contents Page</v>
      </c>
    </row>
  </sheetData>
  <mergeCells count="3">
    <mergeCell ref="B4:H4"/>
    <mergeCell ref="K4:Q4"/>
    <mergeCell ref="B22:G2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R31"/>
  <sheetViews>
    <sheetView showGridLines="0" workbookViewId="0">
      <selection activeCell="M26" sqref="M26"/>
    </sheetView>
  </sheetViews>
  <sheetFormatPr defaultColWidth="9" defaultRowHeight="14.25" x14ac:dyDescent="0.2"/>
  <cols>
    <col min="1" max="1" width="9" style="159"/>
    <col min="2" max="2" width="12" style="159" customWidth="1"/>
    <col min="3" max="3" width="11.25" style="159" customWidth="1"/>
    <col min="4" max="4" width="12.5" style="159" customWidth="1"/>
    <col min="5" max="5" width="13" style="159" customWidth="1"/>
    <col min="6" max="6" width="13.125" style="159" customWidth="1"/>
    <col min="7" max="7" width="11.125" style="159" customWidth="1"/>
    <col min="8" max="8" width="10.375" style="159" customWidth="1"/>
    <col min="9" max="9" width="16.375" style="159" customWidth="1"/>
    <col min="10" max="16384" width="9" style="159"/>
  </cols>
  <sheetData>
    <row r="1" spans="2:18" ht="15" x14ac:dyDescent="0.25">
      <c r="B1" s="157" t="s">
        <v>664</v>
      </c>
      <c r="C1" s="158"/>
      <c r="D1" s="158"/>
      <c r="E1" s="158"/>
      <c r="F1" s="158"/>
      <c r="G1" s="158"/>
      <c r="H1" s="158"/>
    </row>
    <row r="2" spans="2:18" x14ac:dyDescent="0.2">
      <c r="B2" s="158"/>
      <c r="C2" s="158"/>
      <c r="D2" s="158"/>
      <c r="E2" s="158"/>
      <c r="F2" s="158"/>
      <c r="G2" s="158"/>
      <c r="H2" s="158"/>
    </row>
    <row r="3" spans="2:18" x14ac:dyDescent="0.2">
      <c r="B3" s="160" t="s">
        <v>179</v>
      </c>
      <c r="C3" s="158"/>
      <c r="D3" s="158"/>
      <c r="E3" s="158"/>
      <c r="F3" s="158"/>
      <c r="G3" s="158"/>
      <c r="H3" s="158"/>
    </row>
    <row r="4" spans="2:18" ht="15" x14ac:dyDescent="0.25">
      <c r="B4" s="262" t="s">
        <v>665</v>
      </c>
      <c r="C4" s="263"/>
      <c r="D4" s="263"/>
      <c r="E4" s="263"/>
      <c r="F4" s="263"/>
      <c r="G4" s="263"/>
      <c r="H4" s="263"/>
      <c r="L4" s="262" t="s">
        <v>666</v>
      </c>
      <c r="M4" s="263"/>
      <c r="N4" s="263"/>
      <c r="O4" s="263"/>
      <c r="P4" s="263"/>
      <c r="Q4" s="263"/>
      <c r="R4" s="263"/>
    </row>
    <row r="5" spans="2:18" x14ac:dyDescent="0.2">
      <c r="B5" s="160" t="s">
        <v>667</v>
      </c>
      <c r="C5" s="158"/>
      <c r="D5" s="158"/>
      <c r="E5" s="158"/>
      <c r="F5" s="158"/>
      <c r="G5" s="158"/>
      <c r="H5" s="158"/>
    </row>
    <row r="7" spans="2:18" ht="45.75" thickBot="1" x14ac:dyDescent="0.3">
      <c r="B7" s="161" t="s">
        <v>197</v>
      </c>
      <c r="C7" s="161" t="s">
        <v>668</v>
      </c>
      <c r="D7" s="161" t="s">
        <v>669</v>
      </c>
      <c r="E7" s="161" t="s">
        <v>670</v>
      </c>
      <c r="F7" s="161" t="s">
        <v>671</v>
      </c>
      <c r="G7" s="161" t="s">
        <v>672</v>
      </c>
      <c r="H7" s="161" t="s">
        <v>673</v>
      </c>
      <c r="I7" s="161" t="s">
        <v>674</v>
      </c>
    </row>
    <row r="8" spans="2:18" x14ac:dyDescent="0.2">
      <c r="B8" s="162" t="s">
        <v>675</v>
      </c>
      <c r="C8" s="163">
        <v>511</v>
      </c>
      <c r="D8" s="163">
        <v>389</v>
      </c>
      <c r="E8" s="164">
        <v>755</v>
      </c>
      <c r="F8" s="165">
        <v>106655</v>
      </c>
      <c r="G8" s="164">
        <v>1460</v>
      </c>
      <c r="H8" s="165">
        <v>147520</v>
      </c>
      <c r="I8" s="166">
        <v>254175</v>
      </c>
    </row>
    <row r="9" spans="2:18" x14ac:dyDescent="0.2">
      <c r="B9" s="167" t="s">
        <v>676</v>
      </c>
      <c r="C9" s="168">
        <v>439</v>
      </c>
      <c r="D9" s="168">
        <v>425</v>
      </c>
      <c r="E9" s="169">
        <v>822</v>
      </c>
      <c r="F9" s="170">
        <v>129009</v>
      </c>
      <c r="G9" s="169">
        <v>1697</v>
      </c>
      <c r="H9" s="170">
        <v>201260</v>
      </c>
      <c r="I9" s="171">
        <v>330269</v>
      </c>
    </row>
    <row r="10" spans="2:18" x14ac:dyDescent="0.2">
      <c r="B10" s="172" t="s">
        <v>677</v>
      </c>
      <c r="C10" s="173">
        <v>377</v>
      </c>
      <c r="D10" s="173">
        <v>327</v>
      </c>
      <c r="E10" s="174">
        <v>756</v>
      </c>
      <c r="F10" s="175">
        <v>106924</v>
      </c>
      <c r="G10" s="174">
        <v>2120</v>
      </c>
      <c r="H10" s="175">
        <v>316650</v>
      </c>
      <c r="I10" s="176">
        <v>423574</v>
      </c>
    </row>
    <row r="11" spans="2:18" x14ac:dyDescent="0.2">
      <c r="B11" s="177" t="s">
        <v>678</v>
      </c>
      <c r="C11" s="178">
        <v>354</v>
      </c>
      <c r="D11" s="178">
        <v>265</v>
      </c>
      <c r="E11" s="179">
        <v>644</v>
      </c>
      <c r="F11" s="180">
        <v>89019</v>
      </c>
      <c r="G11" s="179">
        <v>1601</v>
      </c>
      <c r="H11" s="180">
        <v>233060</v>
      </c>
      <c r="I11" s="181">
        <v>322079</v>
      </c>
    </row>
    <row r="12" spans="2:18" x14ac:dyDescent="0.2">
      <c r="B12" s="172" t="s">
        <v>679</v>
      </c>
      <c r="C12" s="173">
        <v>353</v>
      </c>
      <c r="D12" s="173">
        <v>299</v>
      </c>
      <c r="E12" s="174">
        <v>694</v>
      </c>
      <c r="F12" s="175">
        <v>95300</v>
      </c>
      <c r="G12" s="174">
        <v>1760</v>
      </c>
      <c r="H12" s="175">
        <v>270050</v>
      </c>
      <c r="I12" s="176">
        <v>365350</v>
      </c>
    </row>
    <row r="13" spans="2:18" x14ac:dyDescent="0.2">
      <c r="B13" s="177" t="s">
        <v>680</v>
      </c>
      <c r="C13" s="178">
        <v>441</v>
      </c>
      <c r="D13" s="178">
        <v>337</v>
      </c>
      <c r="E13" s="179">
        <v>827</v>
      </c>
      <c r="F13" s="180">
        <v>115415</v>
      </c>
      <c r="G13" s="179">
        <v>1219</v>
      </c>
      <c r="H13" s="180">
        <v>185450</v>
      </c>
      <c r="I13" s="181">
        <v>300865</v>
      </c>
    </row>
    <row r="14" spans="2:18" x14ac:dyDescent="0.2">
      <c r="B14" s="172" t="s">
        <v>681</v>
      </c>
      <c r="C14" s="173">
        <v>395</v>
      </c>
      <c r="D14" s="173">
        <v>173</v>
      </c>
      <c r="E14" s="174">
        <v>502</v>
      </c>
      <c r="F14" s="175">
        <v>88261</v>
      </c>
      <c r="G14" s="174">
        <v>1041</v>
      </c>
      <c r="H14" s="175">
        <v>149460</v>
      </c>
      <c r="I14" s="176">
        <v>237721</v>
      </c>
    </row>
    <row r="15" spans="2:18" x14ac:dyDescent="0.2">
      <c r="B15" s="177" t="s">
        <v>682</v>
      </c>
      <c r="C15" s="178">
        <v>211</v>
      </c>
      <c r="D15" s="178">
        <v>160</v>
      </c>
      <c r="E15" s="179">
        <v>487</v>
      </c>
      <c r="F15" s="180">
        <v>79460</v>
      </c>
      <c r="G15" s="179">
        <v>211</v>
      </c>
      <c r="H15" s="180">
        <v>22670</v>
      </c>
      <c r="I15" s="181">
        <v>102130</v>
      </c>
    </row>
    <row r="16" spans="2:18" x14ac:dyDescent="0.2">
      <c r="B16" s="172" t="s">
        <v>683</v>
      </c>
      <c r="C16" s="173">
        <v>318</v>
      </c>
      <c r="D16" s="173">
        <v>429</v>
      </c>
      <c r="E16" s="174">
        <v>1229</v>
      </c>
      <c r="F16" s="175">
        <v>219460</v>
      </c>
      <c r="G16" s="174">
        <v>337</v>
      </c>
      <c r="H16" s="175">
        <v>35280</v>
      </c>
      <c r="I16" s="176">
        <v>254740</v>
      </c>
    </row>
    <row r="17" spans="2:9" x14ac:dyDescent="0.2">
      <c r="B17" s="177" t="s">
        <v>684</v>
      </c>
      <c r="C17" s="178">
        <v>211</v>
      </c>
      <c r="D17" s="178">
        <v>73</v>
      </c>
      <c r="E17" s="179">
        <v>216</v>
      </c>
      <c r="F17" s="180">
        <v>41700</v>
      </c>
      <c r="G17" s="179">
        <v>283</v>
      </c>
      <c r="H17" s="180">
        <v>29080</v>
      </c>
      <c r="I17" s="181">
        <v>70780</v>
      </c>
    </row>
    <row r="18" spans="2:9" x14ac:dyDescent="0.2">
      <c r="B18" s="172" t="s">
        <v>685</v>
      </c>
      <c r="C18" s="173">
        <v>136</v>
      </c>
      <c r="D18" s="173">
        <v>73</v>
      </c>
      <c r="E18" s="174">
        <v>307</v>
      </c>
      <c r="F18" s="175">
        <v>32927</v>
      </c>
      <c r="G18" s="174">
        <v>579</v>
      </c>
      <c r="H18" s="175">
        <v>81230</v>
      </c>
      <c r="I18" s="176">
        <v>114157</v>
      </c>
    </row>
    <row r="19" spans="2:9" x14ac:dyDescent="0.2">
      <c r="B19" s="177" t="s">
        <v>686</v>
      </c>
      <c r="C19" s="178">
        <v>152</v>
      </c>
      <c r="D19" s="178">
        <v>122</v>
      </c>
      <c r="E19" s="179">
        <v>309</v>
      </c>
      <c r="F19" s="180">
        <v>42885</v>
      </c>
      <c r="G19" s="179">
        <v>793</v>
      </c>
      <c r="H19" s="180">
        <v>123410</v>
      </c>
      <c r="I19" s="181">
        <v>166295</v>
      </c>
    </row>
    <row r="20" spans="2:9" ht="30" x14ac:dyDescent="0.25">
      <c r="B20" s="182" t="s">
        <v>687</v>
      </c>
      <c r="C20" s="183">
        <f>C8</f>
        <v>511</v>
      </c>
      <c r="D20" s="183">
        <f t="shared" ref="D20:I20" si="0">D8</f>
        <v>389</v>
      </c>
      <c r="E20" s="184">
        <f t="shared" si="0"/>
        <v>755</v>
      </c>
      <c r="F20" s="185">
        <f t="shared" si="0"/>
        <v>106655</v>
      </c>
      <c r="G20" s="184">
        <f t="shared" si="0"/>
        <v>1460</v>
      </c>
      <c r="H20" s="185">
        <f t="shared" si="0"/>
        <v>147520</v>
      </c>
      <c r="I20" s="185">
        <f t="shared" si="0"/>
        <v>254175</v>
      </c>
    </row>
    <row r="22" spans="2:9" x14ac:dyDescent="0.2">
      <c r="B22" s="264" t="s">
        <v>688</v>
      </c>
      <c r="C22" s="223"/>
      <c r="D22" s="223"/>
      <c r="E22" s="223"/>
      <c r="F22" s="223"/>
      <c r="G22" s="223"/>
    </row>
    <row r="24" spans="2:9" x14ac:dyDescent="0.2">
      <c r="B24" s="186" t="str">
        <f>HYPERLINK("#'Contents'!A1", "Return to Contents Page")</f>
        <v>Return to Contents Page</v>
      </c>
    </row>
    <row r="31" spans="2:9" x14ac:dyDescent="0.2">
      <c r="C31" s="193">
        <f>(C19-C20)/C20</f>
        <v>-0.70254403131115462</v>
      </c>
    </row>
  </sheetData>
  <mergeCells count="3">
    <mergeCell ref="B4:H4"/>
    <mergeCell ref="L4:R4"/>
    <mergeCell ref="B22:G2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6"/>
  <sheetViews>
    <sheetView showGridLines="0" workbookViewId="0"/>
  </sheetViews>
  <sheetFormatPr defaultColWidth="11" defaultRowHeight="14.25" x14ac:dyDescent="0.2"/>
  <cols>
    <col min="1" max="1" width="98.25" customWidth="1"/>
  </cols>
  <sheetData>
    <row r="1" spans="1:1" ht="15" x14ac:dyDescent="0.25">
      <c r="A1" s="6" t="s">
        <v>181</v>
      </c>
    </row>
    <row r="2" spans="1:1" ht="171" customHeight="1" x14ac:dyDescent="0.2">
      <c r="A2" s="25" t="s">
        <v>546</v>
      </c>
    </row>
    <row r="4" spans="1:1" ht="15" x14ac:dyDescent="0.25">
      <c r="A4" s="6" t="s">
        <v>547</v>
      </c>
    </row>
    <row r="5" spans="1:1" ht="57" customHeight="1" x14ac:dyDescent="0.2">
      <c r="A5" s="25" t="s">
        <v>716</v>
      </c>
    </row>
    <row r="6" spans="1:1" x14ac:dyDescent="0.2">
      <c r="A6" s="218" t="s">
        <v>548</v>
      </c>
    </row>
  </sheetData>
  <hyperlinks>
    <hyperlink ref="A6" r:id="rId1" xr:uid="{00000000-0004-0000-2A00-000000000000}"/>
  </hyperlinks>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C22"/>
  <sheetViews>
    <sheetView showGridLines="0" workbookViewId="0"/>
  </sheetViews>
  <sheetFormatPr defaultColWidth="11" defaultRowHeight="14.25" x14ac:dyDescent="0.2"/>
  <cols>
    <col min="1" max="1" width="5.25" customWidth="1"/>
    <col min="2" max="2" width="34.875" customWidth="1"/>
    <col min="3" max="3" width="128.25" customWidth="1"/>
  </cols>
  <sheetData>
    <row r="1" spans="2:3" ht="15" x14ac:dyDescent="0.25">
      <c r="B1" s="6" t="s">
        <v>182</v>
      </c>
    </row>
    <row r="3" spans="2:3" ht="15" x14ac:dyDescent="0.25">
      <c r="B3" s="18" t="s">
        <v>549</v>
      </c>
      <c r="C3" s="18" t="s">
        <v>550</v>
      </c>
    </row>
    <row r="4" spans="2:3" x14ac:dyDescent="0.2">
      <c r="B4" s="4" t="s">
        <v>551</v>
      </c>
      <c r="C4" s="155" t="s">
        <v>552</v>
      </c>
    </row>
    <row r="5" spans="2:3" x14ac:dyDescent="0.2">
      <c r="B5" t="s">
        <v>538</v>
      </c>
      <c r="C5" s="156" t="s">
        <v>552</v>
      </c>
    </row>
    <row r="6" spans="2:3" x14ac:dyDescent="0.2">
      <c r="B6" s="4" t="s">
        <v>553</v>
      </c>
      <c r="C6" s="155" t="s">
        <v>554</v>
      </c>
    </row>
    <row r="7" spans="2:3" x14ac:dyDescent="0.2">
      <c r="B7" t="s">
        <v>555</v>
      </c>
      <c r="C7" s="156" t="s">
        <v>556</v>
      </c>
    </row>
    <row r="8" spans="2:3" ht="28.5" x14ac:dyDescent="0.2">
      <c r="B8" s="4" t="s">
        <v>557</v>
      </c>
      <c r="C8" s="155" t="s">
        <v>558</v>
      </c>
    </row>
    <row r="9" spans="2:3" x14ac:dyDescent="0.2">
      <c r="B9" t="s">
        <v>559</v>
      </c>
      <c r="C9" s="156" t="s">
        <v>560</v>
      </c>
    </row>
    <row r="10" spans="2:3" x14ac:dyDescent="0.2">
      <c r="B10" s="4" t="s">
        <v>561</v>
      </c>
      <c r="C10" s="155" t="s">
        <v>562</v>
      </c>
    </row>
    <row r="11" spans="2:3" x14ac:dyDescent="0.2">
      <c r="B11" t="s">
        <v>256</v>
      </c>
      <c r="C11" s="156" t="s">
        <v>563</v>
      </c>
    </row>
    <row r="12" spans="2:3" ht="28.5" x14ac:dyDescent="0.2">
      <c r="B12" s="4" t="s">
        <v>564</v>
      </c>
      <c r="C12" s="155" t="s">
        <v>565</v>
      </c>
    </row>
    <row r="13" spans="2:3" x14ac:dyDescent="0.2">
      <c r="B13" t="s">
        <v>566</v>
      </c>
      <c r="C13" s="156" t="s">
        <v>567</v>
      </c>
    </row>
    <row r="14" spans="2:3" x14ac:dyDescent="0.2">
      <c r="B14" s="4" t="s">
        <v>539</v>
      </c>
      <c r="C14" s="155" t="s">
        <v>568</v>
      </c>
    </row>
    <row r="15" spans="2:3" ht="42.75" x14ac:dyDescent="0.2">
      <c r="B15" t="s">
        <v>537</v>
      </c>
      <c r="C15" s="156" t="s">
        <v>569</v>
      </c>
    </row>
    <row r="16" spans="2:3" x14ac:dyDescent="0.2">
      <c r="B16" s="4" t="s">
        <v>570</v>
      </c>
      <c r="C16" s="155" t="s">
        <v>571</v>
      </c>
    </row>
    <row r="17" spans="2:3" ht="28.5" x14ac:dyDescent="0.2">
      <c r="B17" t="s">
        <v>572</v>
      </c>
      <c r="C17" s="156" t="s">
        <v>573</v>
      </c>
    </row>
    <row r="18" spans="2:3" x14ac:dyDescent="0.2">
      <c r="B18" s="4" t="s">
        <v>574</v>
      </c>
      <c r="C18" s="155" t="s">
        <v>575</v>
      </c>
    </row>
    <row r="19" spans="2:3" x14ac:dyDescent="0.2">
      <c r="B19" t="s">
        <v>576</v>
      </c>
      <c r="C19" s="156" t="s">
        <v>577</v>
      </c>
    </row>
    <row r="22" spans="2:3" x14ac:dyDescent="0.2">
      <c r="B22" s="1" t="str">
        <f>HYPERLINK("#'Contents'!A1", "Return to Contents Page")</f>
        <v>Return to Contents Page</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216</v>
      </c>
    </row>
    <row r="3" spans="2:8" x14ac:dyDescent="0.2">
      <c r="B3" t="s">
        <v>8</v>
      </c>
    </row>
    <row r="4" spans="2:8" ht="15" x14ac:dyDescent="0.25">
      <c r="B4" s="6" t="s">
        <v>217</v>
      </c>
      <c r="H4" s="6" t="s">
        <v>219</v>
      </c>
    </row>
    <row r="5" spans="2:8" x14ac:dyDescent="0.2">
      <c r="B5" t="s">
        <v>196</v>
      </c>
    </row>
    <row r="7" spans="2:8" ht="45" customHeight="1" thickBot="1" x14ac:dyDescent="0.3">
      <c r="B7" s="110" t="s">
        <v>197</v>
      </c>
      <c r="C7" s="111" t="s">
        <v>218</v>
      </c>
      <c r="D7" s="111" t="s">
        <v>199</v>
      </c>
      <c r="E7" s="111" t="s">
        <v>200</v>
      </c>
    </row>
    <row r="8" spans="2:8" ht="15" thickTop="1" x14ac:dyDescent="0.2">
      <c r="B8" s="112">
        <v>2014</v>
      </c>
      <c r="C8" s="113">
        <v>710</v>
      </c>
      <c r="D8" s="118"/>
      <c r="E8" s="118"/>
    </row>
    <row r="9" spans="2:8" x14ac:dyDescent="0.2">
      <c r="B9" s="114">
        <v>2015</v>
      </c>
      <c r="C9" s="115">
        <v>711</v>
      </c>
      <c r="D9" s="119"/>
      <c r="E9" s="119">
        <v>1.40845070422535E-3</v>
      </c>
    </row>
    <row r="10" spans="2:8" x14ac:dyDescent="0.2">
      <c r="B10" s="116">
        <v>2016</v>
      </c>
      <c r="C10" s="117">
        <v>828</v>
      </c>
      <c r="D10" s="120"/>
      <c r="E10" s="120">
        <v>0.164556962025316</v>
      </c>
    </row>
    <row r="11" spans="2:8" x14ac:dyDescent="0.2">
      <c r="B11" s="114">
        <v>2017</v>
      </c>
      <c r="C11" s="115">
        <v>778</v>
      </c>
      <c r="D11" s="119"/>
      <c r="E11" s="119">
        <v>-6.0386473429951702E-2</v>
      </c>
    </row>
    <row r="12" spans="2:8" x14ac:dyDescent="0.2">
      <c r="B12" s="116">
        <v>2018</v>
      </c>
      <c r="C12" s="117">
        <v>730</v>
      </c>
      <c r="D12" s="120"/>
      <c r="E12" s="120">
        <v>-6.1696658097686402E-2</v>
      </c>
    </row>
    <row r="13" spans="2:8" x14ac:dyDescent="0.2">
      <c r="B13" s="114">
        <v>2019</v>
      </c>
      <c r="C13" s="115">
        <v>774</v>
      </c>
      <c r="D13" s="119">
        <v>3.0077189246739501E-2</v>
      </c>
      <c r="E13" s="119">
        <v>6.02739726027397E-2</v>
      </c>
    </row>
    <row r="14" spans="2:8" x14ac:dyDescent="0.2">
      <c r="B14" s="116">
        <v>2020</v>
      </c>
      <c r="C14" s="117">
        <v>596</v>
      </c>
      <c r="D14" s="120">
        <v>-0.20681394729837599</v>
      </c>
      <c r="E14" s="120">
        <v>-0.22997416020671799</v>
      </c>
    </row>
    <row r="15" spans="2:8" x14ac:dyDescent="0.2">
      <c r="B15" s="114">
        <v>2021</v>
      </c>
      <c r="C15" s="115">
        <v>809</v>
      </c>
      <c r="D15" s="119">
        <v>7.6656907106734104E-2</v>
      </c>
      <c r="E15" s="119">
        <v>0.35738255033556998</v>
      </c>
    </row>
    <row r="16" spans="2:8" x14ac:dyDescent="0.2">
      <c r="B16" s="116">
        <v>2022</v>
      </c>
      <c r="C16" s="117">
        <v>910</v>
      </c>
      <c r="D16" s="120">
        <v>0.21107266435986199</v>
      </c>
      <c r="E16" s="120">
        <v>0.12484548825710801</v>
      </c>
    </row>
    <row r="17" spans="2:12" x14ac:dyDescent="0.2">
      <c r="B17" s="114">
        <v>2023</v>
      </c>
      <c r="C17" s="115">
        <v>880</v>
      </c>
      <c r="D17" s="119">
        <v>0.171147191908438</v>
      </c>
      <c r="E17" s="119">
        <v>-3.2967032967033003E-2</v>
      </c>
    </row>
    <row r="18" spans="2:12" x14ac:dyDescent="0.2">
      <c r="B18" s="116">
        <v>2024</v>
      </c>
      <c r="C18" s="117">
        <v>939</v>
      </c>
      <c r="D18" s="120">
        <v>0.249667287729572</v>
      </c>
      <c r="E18" s="120">
        <v>6.7045454545454505E-2</v>
      </c>
    </row>
    <row r="19" spans="2:12" ht="30" customHeight="1" x14ac:dyDescent="0.25">
      <c r="B19" s="121" t="s">
        <v>202</v>
      </c>
      <c r="C19" s="122">
        <v>751.4</v>
      </c>
      <c r="D19" s="123"/>
      <c r="E19" s="14"/>
    </row>
    <row r="21" spans="2:12" x14ac:dyDescent="0.2">
      <c r="B21" s="9" t="s">
        <v>203</v>
      </c>
    </row>
    <row r="23" spans="2:12" x14ac:dyDescent="0.2">
      <c r="B23" s="1" t="str">
        <f>HYPERLINK("#'Contents'!A1", "Return to Contents Page")</f>
        <v>Return to Contents Page</v>
      </c>
    </row>
    <row r="26" spans="2:12" ht="15" x14ac:dyDescent="0.25">
      <c r="B26" s="6" t="s">
        <v>220</v>
      </c>
    </row>
    <row r="27" spans="2:12" ht="30" customHeight="1" x14ac:dyDescent="0.25">
      <c r="B27" s="222" t="s">
        <v>221</v>
      </c>
      <c r="C27" s="223"/>
      <c r="D27" s="223"/>
      <c r="E27" s="223"/>
      <c r="H27" s="222" t="s">
        <v>223</v>
      </c>
      <c r="I27" s="223"/>
      <c r="J27" s="223"/>
      <c r="K27" s="223"/>
      <c r="L27" s="223"/>
    </row>
    <row r="28" spans="2:12" ht="15" x14ac:dyDescent="0.25">
      <c r="B28" s="6" t="s">
        <v>196</v>
      </c>
    </row>
    <row r="30" spans="2:12" ht="45" customHeight="1" thickBot="1" x14ac:dyDescent="0.3">
      <c r="B30" s="110" t="s">
        <v>197</v>
      </c>
      <c r="C30" s="111" t="s">
        <v>218</v>
      </c>
      <c r="D30" s="111" t="s">
        <v>199</v>
      </c>
      <c r="E30" s="111" t="s">
        <v>206</v>
      </c>
    </row>
    <row r="31" spans="2:12" ht="15" thickTop="1" x14ac:dyDescent="0.2">
      <c r="B31" s="124" t="s">
        <v>207</v>
      </c>
      <c r="C31" s="113">
        <v>751.4</v>
      </c>
      <c r="D31" s="118"/>
      <c r="E31" s="118"/>
    </row>
    <row r="32" spans="2:12" x14ac:dyDescent="0.2">
      <c r="B32" s="125" t="s">
        <v>208</v>
      </c>
      <c r="C32" s="115">
        <v>764.2</v>
      </c>
      <c r="D32" s="119">
        <v>1.7034868245940998E-2</v>
      </c>
      <c r="E32" s="119">
        <v>1.7034868245940998E-2</v>
      </c>
    </row>
    <row r="33" spans="2:5" x14ac:dyDescent="0.2">
      <c r="B33" s="126" t="s">
        <v>209</v>
      </c>
      <c r="C33" s="117">
        <v>741.2</v>
      </c>
      <c r="D33" s="120">
        <v>-1.3574660633484101E-2</v>
      </c>
      <c r="E33" s="120">
        <v>-3.00968332897147E-2</v>
      </c>
    </row>
    <row r="34" spans="2:5" x14ac:dyDescent="0.2">
      <c r="B34" s="125" t="s">
        <v>210</v>
      </c>
      <c r="C34" s="115">
        <v>737.4</v>
      </c>
      <c r="D34" s="119">
        <v>-1.86318871439979E-2</v>
      </c>
      <c r="E34" s="119">
        <v>-5.1268213707502302E-3</v>
      </c>
    </row>
    <row r="35" spans="2:5" x14ac:dyDescent="0.2">
      <c r="B35" s="126" t="s">
        <v>211</v>
      </c>
      <c r="C35" s="117">
        <v>763.8</v>
      </c>
      <c r="D35" s="120">
        <v>1.6502528613255199E-2</v>
      </c>
      <c r="E35" s="120">
        <v>3.5801464605370197E-2</v>
      </c>
    </row>
    <row r="36" spans="2:5" x14ac:dyDescent="0.2">
      <c r="B36" s="125" t="s">
        <v>212</v>
      </c>
      <c r="C36" s="115">
        <v>793.8</v>
      </c>
      <c r="D36" s="119">
        <v>5.6428001064679198E-2</v>
      </c>
      <c r="E36" s="119">
        <v>3.9277297721916703E-2</v>
      </c>
    </row>
    <row r="37" spans="2:5" x14ac:dyDescent="0.2">
      <c r="B37" s="126" t="s">
        <v>213</v>
      </c>
      <c r="C37" s="117">
        <v>826.8</v>
      </c>
      <c r="D37" s="120">
        <v>0.100346020761246</v>
      </c>
      <c r="E37" s="120">
        <v>4.1572184429327301E-2</v>
      </c>
    </row>
    <row r="38" spans="2:5" ht="30" x14ac:dyDescent="0.25">
      <c r="B38" s="121" t="s">
        <v>222</v>
      </c>
      <c r="C38" s="122">
        <v>751.4</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2">
    <mergeCell ref="B27:E27"/>
    <mergeCell ref="H27:L27"/>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224</v>
      </c>
    </row>
    <row r="3" spans="2:8" x14ac:dyDescent="0.2">
      <c r="B3" t="s">
        <v>10</v>
      </c>
    </row>
    <row r="4" spans="2:8" ht="30" customHeight="1" x14ac:dyDescent="0.25">
      <c r="B4" s="222" t="s">
        <v>11</v>
      </c>
      <c r="C4" s="223"/>
      <c r="D4" s="223"/>
      <c r="E4" s="223"/>
      <c r="H4" s="6" t="s">
        <v>226</v>
      </c>
    </row>
    <row r="5" spans="2:8" x14ac:dyDescent="0.2">
      <c r="B5" t="s">
        <v>196</v>
      </c>
    </row>
    <row r="7" spans="2:8" ht="45" customHeight="1" thickBot="1" x14ac:dyDescent="0.3">
      <c r="B7" s="110" t="s">
        <v>197</v>
      </c>
      <c r="C7" s="111" t="s">
        <v>225</v>
      </c>
      <c r="D7" s="111" t="s">
        <v>199</v>
      </c>
      <c r="E7" s="111" t="s">
        <v>200</v>
      </c>
    </row>
    <row r="8" spans="2:8" ht="15" thickTop="1" x14ac:dyDescent="0.2">
      <c r="B8" s="112">
        <v>2014</v>
      </c>
      <c r="C8" s="113">
        <v>70</v>
      </c>
      <c r="D8" s="118"/>
      <c r="E8" s="118"/>
    </row>
    <row r="9" spans="2:8" x14ac:dyDescent="0.2">
      <c r="B9" s="114">
        <v>2015</v>
      </c>
      <c r="C9" s="115">
        <v>72</v>
      </c>
      <c r="D9" s="119"/>
      <c r="E9" s="119">
        <v>2.8571428571428598E-2</v>
      </c>
    </row>
    <row r="10" spans="2:8" x14ac:dyDescent="0.2">
      <c r="B10" s="116">
        <v>2016</v>
      </c>
      <c r="C10" s="117">
        <v>82</v>
      </c>
      <c r="D10" s="120"/>
      <c r="E10" s="120">
        <v>0.13888888888888901</v>
      </c>
    </row>
    <row r="11" spans="2:8" x14ac:dyDescent="0.2">
      <c r="B11" s="114">
        <v>2017</v>
      </c>
      <c r="C11" s="115">
        <v>68</v>
      </c>
      <c r="D11" s="119"/>
      <c r="E11" s="119">
        <v>-0.17073170731707299</v>
      </c>
    </row>
    <row r="12" spans="2:8" x14ac:dyDescent="0.2">
      <c r="B12" s="116">
        <v>2018</v>
      </c>
      <c r="C12" s="117">
        <v>63</v>
      </c>
      <c r="D12" s="120"/>
      <c r="E12" s="120">
        <v>-7.3529411764705899E-2</v>
      </c>
    </row>
    <row r="13" spans="2:8" x14ac:dyDescent="0.2">
      <c r="B13" s="114">
        <v>2019</v>
      </c>
      <c r="C13" s="115">
        <v>71</v>
      </c>
      <c r="D13" s="119">
        <v>0</v>
      </c>
      <c r="E13" s="119">
        <v>0.126984126984127</v>
      </c>
    </row>
    <row r="14" spans="2:8" x14ac:dyDescent="0.2">
      <c r="B14" s="116">
        <v>2020</v>
      </c>
      <c r="C14" s="117">
        <v>55</v>
      </c>
      <c r="D14" s="120">
        <v>-0.22535211267605601</v>
      </c>
      <c r="E14" s="120">
        <v>-0.22535211267605601</v>
      </c>
    </row>
    <row r="15" spans="2:8" x14ac:dyDescent="0.2">
      <c r="B15" s="114">
        <v>2021</v>
      </c>
      <c r="C15" s="115">
        <v>80</v>
      </c>
      <c r="D15" s="119">
        <v>0.12676056338028199</v>
      </c>
      <c r="E15" s="119">
        <v>0.45454545454545497</v>
      </c>
    </row>
    <row r="16" spans="2:8" x14ac:dyDescent="0.2">
      <c r="B16" s="116">
        <v>2022</v>
      </c>
      <c r="C16" s="117">
        <v>92</v>
      </c>
      <c r="D16" s="120">
        <v>0.29577464788732399</v>
      </c>
      <c r="E16" s="120">
        <v>0.15</v>
      </c>
    </row>
    <row r="17" spans="2:13" x14ac:dyDescent="0.2">
      <c r="B17" s="114">
        <v>2023</v>
      </c>
      <c r="C17" s="115">
        <v>83</v>
      </c>
      <c r="D17" s="119">
        <v>0.169014084507042</v>
      </c>
      <c r="E17" s="119">
        <v>-9.7826086956521702E-2</v>
      </c>
    </row>
    <row r="18" spans="2:13" x14ac:dyDescent="0.2">
      <c r="B18" s="116">
        <v>2024</v>
      </c>
      <c r="C18" s="117">
        <v>93</v>
      </c>
      <c r="D18" s="120">
        <v>0.309859154929577</v>
      </c>
      <c r="E18" s="120">
        <v>0.120481927710843</v>
      </c>
    </row>
    <row r="19" spans="2:13" ht="40.15" customHeight="1" x14ac:dyDescent="0.25">
      <c r="B19" s="121" t="s">
        <v>202</v>
      </c>
      <c r="C19" s="122">
        <v>71</v>
      </c>
      <c r="D19" s="123"/>
      <c r="E19" s="14"/>
    </row>
    <row r="21" spans="2:13" x14ac:dyDescent="0.2">
      <c r="B21" s="9" t="s">
        <v>203</v>
      </c>
    </row>
    <row r="23" spans="2:13" x14ac:dyDescent="0.2">
      <c r="B23" s="1" t="str">
        <f>HYPERLINK("#'Contents'!A1", "Return to Contents Page")</f>
        <v>Return to Contents Page</v>
      </c>
    </row>
    <row r="26" spans="2:13" ht="15" x14ac:dyDescent="0.25">
      <c r="B26" s="6" t="s">
        <v>227</v>
      </c>
    </row>
    <row r="27" spans="2:13" ht="30" customHeight="1" x14ac:dyDescent="0.25">
      <c r="B27" s="222" t="s">
        <v>228</v>
      </c>
      <c r="C27" s="223"/>
      <c r="D27" s="223"/>
      <c r="E27" s="223"/>
      <c r="H27" s="222" t="s">
        <v>229</v>
      </c>
      <c r="I27" s="223"/>
      <c r="J27" s="223"/>
      <c r="K27" s="223"/>
      <c r="L27" s="223"/>
      <c r="M27" s="223"/>
    </row>
    <row r="28" spans="2:13" ht="15" x14ac:dyDescent="0.25">
      <c r="B28" s="6" t="s">
        <v>196</v>
      </c>
    </row>
    <row r="30" spans="2:13" ht="45" customHeight="1" thickBot="1" x14ac:dyDescent="0.3">
      <c r="B30" s="110" t="s">
        <v>197</v>
      </c>
      <c r="C30" s="111" t="s">
        <v>225</v>
      </c>
      <c r="D30" s="111" t="s">
        <v>199</v>
      </c>
      <c r="E30" s="111" t="s">
        <v>206</v>
      </c>
    </row>
    <row r="31" spans="2:13" ht="15" thickTop="1" x14ac:dyDescent="0.2">
      <c r="B31" s="124" t="s">
        <v>207</v>
      </c>
      <c r="C31" s="113">
        <v>71</v>
      </c>
      <c r="D31" s="118"/>
      <c r="E31" s="118"/>
    </row>
    <row r="32" spans="2:13" x14ac:dyDescent="0.2">
      <c r="B32" s="125" t="s">
        <v>208</v>
      </c>
      <c r="C32" s="115">
        <v>71.2</v>
      </c>
      <c r="D32" s="119">
        <v>2.8169014084507399E-3</v>
      </c>
      <c r="E32" s="119">
        <v>2.8169014084507399E-3</v>
      </c>
    </row>
    <row r="33" spans="2:5" x14ac:dyDescent="0.2">
      <c r="B33" s="126" t="s">
        <v>209</v>
      </c>
      <c r="C33" s="117">
        <v>67.8</v>
      </c>
      <c r="D33" s="120">
        <v>-4.5070422535211298E-2</v>
      </c>
      <c r="E33" s="120">
        <v>-4.7752808988764099E-2</v>
      </c>
    </row>
    <row r="34" spans="2:5" x14ac:dyDescent="0.2">
      <c r="B34" s="125" t="s">
        <v>210</v>
      </c>
      <c r="C34" s="115">
        <v>67.400000000000006</v>
      </c>
      <c r="D34" s="119">
        <v>-5.0704225352112602E-2</v>
      </c>
      <c r="E34" s="119">
        <v>-5.8997050147491402E-3</v>
      </c>
    </row>
    <row r="35" spans="2:5" x14ac:dyDescent="0.2">
      <c r="B35" s="126" t="s">
        <v>211</v>
      </c>
      <c r="C35" s="117">
        <v>72.2</v>
      </c>
      <c r="D35" s="120">
        <v>1.69014084507043E-2</v>
      </c>
      <c r="E35" s="120">
        <v>7.1216617210682398E-2</v>
      </c>
    </row>
    <row r="36" spans="2:5" x14ac:dyDescent="0.2">
      <c r="B36" s="125" t="s">
        <v>212</v>
      </c>
      <c r="C36" s="115">
        <v>76.2</v>
      </c>
      <c r="D36" s="119">
        <v>7.3239436619718407E-2</v>
      </c>
      <c r="E36" s="119">
        <v>5.5401662049861501E-2</v>
      </c>
    </row>
    <row r="37" spans="2:5" x14ac:dyDescent="0.2">
      <c r="B37" s="126" t="s">
        <v>213</v>
      </c>
      <c r="C37" s="117">
        <v>80.599999999999994</v>
      </c>
      <c r="D37" s="120">
        <v>0.13521126760563401</v>
      </c>
      <c r="E37" s="120">
        <v>5.7742782152230901E-2</v>
      </c>
    </row>
    <row r="38" spans="2:5" ht="30" x14ac:dyDescent="0.25">
      <c r="B38" s="121" t="s">
        <v>222</v>
      </c>
      <c r="C38" s="122">
        <v>71</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3">
    <mergeCell ref="B4:E4"/>
    <mergeCell ref="B27:E27"/>
    <mergeCell ref="H27:M27"/>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showGridLines="0" workbookViewId="0"/>
  </sheetViews>
  <sheetFormatPr defaultColWidth="11" defaultRowHeight="14.25" x14ac:dyDescent="0.2"/>
  <cols>
    <col min="2" max="2" width="12.75" customWidth="1"/>
    <col min="4" max="5" width="12.25" customWidth="1"/>
  </cols>
  <sheetData>
    <row r="1" spans="2:8" ht="15" x14ac:dyDescent="0.25">
      <c r="B1" s="6" t="s">
        <v>230</v>
      </c>
    </row>
    <row r="3" spans="2:8" x14ac:dyDescent="0.2">
      <c r="B3" t="s">
        <v>12</v>
      </c>
    </row>
    <row r="4" spans="2:8" ht="30" customHeight="1" x14ac:dyDescent="0.25">
      <c r="B4" s="222" t="s">
        <v>13</v>
      </c>
      <c r="C4" s="223"/>
      <c r="D4" s="223"/>
      <c r="E4" s="223"/>
      <c r="F4" s="223"/>
      <c r="H4" s="6" t="s">
        <v>232</v>
      </c>
    </row>
    <row r="5" spans="2:8" x14ac:dyDescent="0.2">
      <c r="B5" t="s">
        <v>196</v>
      </c>
    </row>
    <row r="7" spans="2:8" ht="45" customHeight="1" thickBot="1" x14ac:dyDescent="0.3">
      <c r="B7" s="110" t="s">
        <v>197</v>
      </c>
      <c r="C7" s="111" t="s">
        <v>231</v>
      </c>
      <c r="D7" s="111" t="s">
        <v>199</v>
      </c>
      <c r="E7" s="111" t="s">
        <v>200</v>
      </c>
    </row>
    <row r="8" spans="2:8" ht="15" thickTop="1" x14ac:dyDescent="0.2">
      <c r="B8" s="112">
        <v>2014</v>
      </c>
      <c r="C8" s="113">
        <v>208</v>
      </c>
      <c r="D8" s="118"/>
      <c r="E8" s="118"/>
    </row>
    <row r="9" spans="2:8" x14ac:dyDescent="0.2">
      <c r="B9" s="114">
        <v>2015</v>
      </c>
      <c r="C9" s="115">
        <v>197</v>
      </c>
      <c r="D9" s="119"/>
      <c r="E9" s="119">
        <v>-5.2884615384615398E-2</v>
      </c>
    </row>
    <row r="10" spans="2:8" x14ac:dyDescent="0.2">
      <c r="B10" s="116">
        <v>2016</v>
      </c>
      <c r="C10" s="117">
        <v>227</v>
      </c>
      <c r="D10" s="120"/>
      <c r="E10" s="120">
        <v>0.15228426395939099</v>
      </c>
    </row>
    <row r="11" spans="2:8" x14ac:dyDescent="0.2">
      <c r="B11" s="114">
        <v>2017</v>
      </c>
      <c r="C11" s="115">
        <v>177</v>
      </c>
      <c r="D11" s="119"/>
      <c r="E11" s="119">
        <v>-0.22026431718061701</v>
      </c>
    </row>
    <row r="12" spans="2:8" x14ac:dyDescent="0.2">
      <c r="B12" s="116">
        <v>2018</v>
      </c>
      <c r="C12" s="117">
        <v>173</v>
      </c>
      <c r="D12" s="120"/>
      <c r="E12" s="120">
        <v>-2.2598870056497199E-2</v>
      </c>
    </row>
    <row r="13" spans="2:8" x14ac:dyDescent="0.2">
      <c r="B13" s="114">
        <v>2019</v>
      </c>
      <c r="C13" s="115">
        <v>173</v>
      </c>
      <c r="D13" s="119">
        <v>-0.119144602851324</v>
      </c>
      <c r="E13" s="119">
        <v>0</v>
      </c>
    </row>
    <row r="14" spans="2:8" x14ac:dyDescent="0.2">
      <c r="B14" s="116">
        <v>2020</v>
      </c>
      <c r="C14" s="117">
        <v>128</v>
      </c>
      <c r="D14" s="120">
        <v>-0.34826883910387002</v>
      </c>
      <c r="E14" s="120">
        <v>-0.260115606936416</v>
      </c>
    </row>
    <row r="15" spans="2:8" x14ac:dyDescent="0.2">
      <c r="B15" s="114">
        <v>2021</v>
      </c>
      <c r="C15" s="115">
        <v>180</v>
      </c>
      <c r="D15" s="119">
        <v>-8.3503054989816694E-2</v>
      </c>
      <c r="E15" s="119">
        <v>0.40625</v>
      </c>
    </row>
    <row r="16" spans="2:8" x14ac:dyDescent="0.2">
      <c r="B16" s="116">
        <v>2022</v>
      </c>
      <c r="C16" s="117">
        <v>196</v>
      </c>
      <c r="D16" s="120">
        <v>-2.0366598778004401E-3</v>
      </c>
      <c r="E16" s="120">
        <v>8.8888888888888906E-2</v>
      </c>
    </row>
    <row r="17" spans="2:13" x14ac:dyDescent="0.2">
      <c r="B17" s="114">
        <v>2023</v>
      </c>
      <c r="C17" s="115">
        <v>192</v>
      </c>
      <c r="D17" s="119">
        <v>-2.24032586558045E-2</v>
      </c>
      <c r="E17" s="119">
        <v>-2.04081632653061E-2</v>
      </c>
    </row>
    <row r="18" spans="2:13" x14ac:dyDescent="0.2">
      <c r="B18" s="116">
        <v>2024</v>
      </c>
      <c r="C18" s="117">
        <v>207</v>
      </c>
      <c r="D18" s="120">
        <v>5.3971486761710798E-2</v>
      </c>
      <c r="E18" s="120">
        <v>7.8125E-2</v>
      </c>
    </row>
    <row r="19" spans="2:13" ht="30" customHeight="1" x14ac:dyDescent="0.25">
      <c r="B19" s="121" t="s">
        <v>202</v>
      </c>
      <c r="C19" s="122">
        <v>196.4</v>
      </c>
      <c r="D19" s="123"/>
      <c r="E19" s="14"/>
    </row>
    <row r="21" spans="2:13" x14ac:dyDescent="0.2">
      <c r="B21" s="9" t="s">
        <v>203</v>
      </c>
    </row>
    <row r="23" spans="2:13" x14ac:dyDescent="0.2">
      <c r="B23" s="1" t="str">
        <f>HYPERLINK("#'Contents'!A1", "Return to Contents Page")</f>
        <v>Return to Contents Page</v>
      </c>
    </row>
    <row r="26" spans="2:13" ht="15" x14ac:dyDescent="0.25">
      <c r="B26" s="6" t="s">
        <v>233</v>
      </c>
    </row>
    <row r="27" spans="2:13" ht="30" customHeight="1" x14ac:dyDescent="0.25">
      <c r="B27" s="222" t="s">
        <v>234</v>
      </c>
      <c r="C27" s="223"/>
      <c r="D27" s="223"/>
      <c r="E27" s="223"/>
      <c r="F27" s="223"/>
      <c r="H27" s="222" t="s">
        <v>235</v>
      </c>
      <c r="I27" s="223"/>
      <c r="J27" s="223"/>
      <c r="K27" s="223"/>
      <c r="L27" s="223"/>
      <c r="M27" s="223"/>
    </row>
    <row r="28" spans="2:13" ht="15" x14ac:dyDescent="0.25">
      <c r="B28" s="6" t="s">
        <v>196</v>
      </c>
    </row>
    <row r="30" spans="2:13" ht="45" customHeight="1" thickBot="1" x14ac:dyDescent="0.3">
      <c r="B30" s="110" t="s">
        <v>197</v>
      </c>
      <c r="C30" s="111" t="s">
        <v>231</v>
      </c>
      <c r="D30" s="111" t="s">
        <v>199</v>
      </c>
      <c r="E30" s="111" t="s">
        <v>206</v>
      </c>
    </row>
    <row r="31" spans="2:13" ht="15" thickTop="1" x14ac:dyDescent="0.2">
      <c r="B31" s="124" t="s">
        <v>207</v>
      </c>
      <c r="C31" s="113">
        <v>196.4</v>
      </c>
      <c r="D31" s="118"/>
      <c r="E31" s="118"/>
    </row>
    <row r="32" spans="2:13" x14ac:dyDescent="0.2">
      <c r="B32" s="125" t="s">
        <v>208</v>
      </c>
      <c r="C32" s="115">
        <v>189.4</v>
      </c>
      <c r="D32" s="119">
        <v>-3.5641547861507097E-2</v>
      </c>
      <c r="E32" s="119">
        <v>-3.5641547861507097E-2</v>
      </c>
    </row>
    <row r="33" spans="2:5" x14ac:dyDescent="0.2">
      <c r="B33" s="126" t="s">
        <v>209</v>
      </c>
      <c r="C33" s="117">
        <v>175.6</v>
      </c>
      <c r="D33" s="120">
        <v>-0.105906313645621</v>
      </c>
      <c r="E33" s="120">
        <v>-7.2861668426610404E-2</v>
      </c>
    </row>
    <row r="34" spans="2:5" x14ac:dyDescent="0.2">
      <c r="B34" s="125" t="s">
        <v>210</v>
      </c>
      <c r="C34" s="115">
        <v>166.2</v>
      </c>
      <c r="D34" s="119">
        <v>-0.153767820773931</v>
      </c>
      <c r="E34" s="119">
        <v>-5.3530751708428297E-2</v>
      </c>
    </row>
    <row r="35" spans="2:5" x14ac:dyDescent="0.2">
      <c r="B35" s="126" t="s">
        <v>211</v>
      </c>
      <c r="C35" s="117">
        <v>170</v>
      </c>
      <c r="D35" s="120">
        <v>-0.13441955193482699</v>
      </c>
      <c r="E35" s="120">
        <v>2.2864019253910999E-2</v>
      </c>
    </row>
    <row r="36" spans="2:5" x14ac:dyDescent="0.2">
      <c r="B36" s="125" t="s">
        <v>212</v>
      </c>
      <c r="C36" s="115">
        <v>173.8</v>
      </c>
      <c r="D36" s="119">
        <v>-0.115071283095723</v>
      </c>
      <c r="E36" s="119">
        <v>2.23529411764707E-2</v>
      </c>
    </row>
    <row r="37" spans="2:5" x14ac:dyDescent="0.2">
      <c r="B37" s="126" t="s">
        <v>213</v>
      </c>
      <c r="C37" s="117">
        <v>180.6</v>
      </c>
      <c r="D37" s="120">
        <v>-8.0448065173116104E-2</v>
      </c>
      <c r="E37" s="120">
        <v>3.9125431530494699E-2</v>
      </c>
    </row>
    <row r="38" spans="2:5" ht="30" x14ac:dyDescent="0.25">
      <c r="B38" s="121" t="s">
        <v>222</v>
      </c>
      <c r="C38" s="122">
        <v>196.4</v>
      </c>
      <c r="D38" s="123"/>
      <c r="E38" s="14"/>
    </row>
    <row r="39" spans="2:5" x14ac:dyDescent="0.2">
      <c r="C39" s="7"/>
      <c r="D39" s="8"/>
      <c r="E39" s="8"/>
    </row>
    <row r="40" spans="2:5" x14ac:dyDescent="0.2">
      <c r="B40" s="9" t="s">
        <v>203</v>
      </c>
      <c r="C40" s="7"/>
      <c r="D40" s="8"/>
      <c r="E40" s="8"/>
    </row>
    <row r="41" spans="2:5" x14ac:dyDescent="0.2">
      <c r="C41" s="7"/>
      <c r="D41" s="8"/>
      <c r="E41" s="8"/>
    </row>
    <row r="42" spans="2:5" x14ac:dyDescent="0.2">
      <c r="C42" s="7"/>
      <c r="D42" s="8"/>
      <c r="E42" s="8"/>
    </row>
    <row r="43" spans="2:5" x14ac:dyDescent="0.2">
      <c r="C43" s="7"/>
      <c r="D43" s="8"/>
      <c r="E43" s="8"/>
    </row>
    <row r="44" spans="2:5" x14ac:dyDescent="0.2">
      <c r="B44" s="1" t="str">
        <f>HYPERLINK("#'Contents'!A1", "Return to Contents Page")</f>
        <v>Return to Contents Page</v>
      </c>
      <c r="C44" s="7"/>
      <c r="D44" s="8"/>
      <c r="E44" s="8"/>
    </row>
    <row r="45" spans="2:5" x14ac:dyDescent="0.2">
      <c r="C45" s="7"/>
      <c r="D45" s="8"/>
      <c r="E45" s="8"/>
    </row>
    <row r="46" spans="2:5" x14ac:dyDescent="0.2">
      <c r="C46" s="7"/>
      <c r="D46" s="8"/>
      <c r="E46" s="8"/>
    </row>
    <row r="47" spans="2:5" x14ac:dyDescent="0.2">
      <c r="C47" s="7"/>
      <c r="D47" s="8"/>
      <c r="E47" s="8"/>
    </row>
    <row r="48" spans="2:5" x14ac:dyDescent="0.2">
      <c r="C48" s="7"/>
      <c r="D48" s="8"/>
      <c r="E48" s="8"/>
    </row>
    <row r="49" spans="3:5" x14ac:dyDescent="0.2">
      <c r="C49" s="7"/>
      <c r="D49" s="8"/>
      <c r="E49" s="8"/>
    </row>
    <row r="50" spans="3:5" x14ac:dyDescent="0.2">
      <c r="C50" s="7"/>
      <c r="D50" s="8"/>
      <c r="E50" s="8"/>
    </row>
  </sheetData>
  <mergeCells count="3">
    <mergeCell ref="B4:F4"/>
    <mergeCell ref="B27:F27"/>
    <mergeCell ref="H27:M27"/>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08"/>
  <sheetViews>
    <sheetView showGridLines="0" tabSelected="1" workbookViewId="0">
      <selection activeCell="J62" sqref="J62:K65"/>
    </sheetView>
  </sheetViews>
  <sheetFormatPr defaultColWidth="11" defaultRowHeight="14.25" x14ac:dyDescent="0.2"/>
  <cols>
    <col min="2" max="2" width="112.75" customWidth="1"/>
    <col min="3" max="3" width="12.25" customWidth="1"/>
  </cols>
  <sheetData>
    <row r="1" spans="2:11" x14ac:dyDescent="0.2">
      <c r="B1" t="s">
        <v>15</v>
      </c>
    </row>
    <row r="2" spans="2:11" ht="15" x14ac:dyDescent="0.25">
      <c r="B2" s="6" t="s">
        <v>16</v>
      </c>
    </row>
    <row r="4" spans="2:11" ht="15" x14ac:dyDescent="0.25">
      <c r="B4" s="224" t="s">
        <v>236</v>
      </c>
      <c r="C4" s="224" t="s">
        <v>185</v>
      </c>
      <c r="D4" s="224">
        <v>2022</v>
      </c>
      <c r="E4" s="224">
        <v>2023</v>
      </c>
      <c r="F4" s="224">
        <v>2024</v>
      </c>
      <c r="G4" s="225" t="s">
        <v>237</v>
      </c>
      <c r="H4" s="225"/>
      <c r="I4" s="224" t="s">
        <v>187</v>
      </c>
      <c r="J4" s="224"/>
      <c r="K4" s="224"/>
    </row>
    <row r="5" spans="2:11" ht="60" customHeight="1" x14ac:dyDescent="0.25">
      <c r="B5" s="224"/>
      <c r="C5" s="224"/>
      <c r="D5" s="224"/>
      <c r="E5" s="224"/>
      <c r="F5" s="224"/>
      <c r="G5" s="225"/>
      <c r="H5" s="225"/>
      <c r="I5" s="18" t="s">
        <v>238</v>
      </c>
      <c r="J5" s="224" t="s">
        <v>239</v>
      </c>
      <c r="K5" s="224"/>
    </row>
    <row r="6" spans="2:11" ht="15" x14ac:dyDescent="0.25">
      <c r="B6" s="19" t="s">
        <v>240</v>
      </c>
      <c r="C6" s="19"/>
      <c r="D6" s="19"/>
      <c r="E6" s="19"/>
      <c r="F6" s="19"/>
      <c r="G6" s="19"/>
      <c r="H6" s="19"/>
      <c r="I6" s="19"/>
      <c r="J6" s="19"/>
      <c r="K6" s="19"/>
    </row>
    <row r="7" spans="2:11" ht="15" customHeight="1" x14ac:dyDescent="0.2">
      <c r="B7" s="4" t="s">
        <v>258</v>
      </c>
      <c r="C7" s="20">
        <v>0.41137317584894101</v>
      </c>
      <c r="D7" s="20">
        <v>0.308582730589402</v>
      </c>
      <c r="E7" s="20">
        <v>0.39631131046030799</v>
      </c>
      <c r="F7" s="20">
        <v>0.38514761157410199</v>
      </c>
      <c r="G7" s="12">
        <f>(F7-E7)/E7</f>
        <v>-2.816901408450739E-2</v>
      </c>
      <c r="H7" s="28" t="str">
        <f>IF(F7&gt;E7,"é",IF(F7&lt;E7,"ê","è"))</f>
        <v>ê</v>
      </c>
      <c r="I7" s="20">
        <v>0.35000281698906499</v>
      </c>
      <c r="J7" s="12">
        <f>(I7-C7)/C7</f>
        <v>-0.14918415313110164</v>
      </c>
      <c r="K7" s="28" t="str">
        <f>IF(I7&gt;C7,"é",IF(I7&lt;C7,"ê","è"))</f>
        <v>ê</v>
      </c>
    </row>
    <row r="8" spans="2:11" ht="15" customHeight="1" x14ac:dyDescent="0.2">
      <c r="B8" t="s">
        <v>259</v>
      </c>
      <c r="C8" s="21">
        <v>36.351517241556799</v>
      </c>
      <c r="D8" s="21">
        <v>28.787627391793901</v>
      </c>
      <c r="E8" s="21">
        <v>36.971810816806197</v>
      </c>
      <c r="F8" s="21">
        <v>35.930351357177898</v>
      </c>
      <c r="G8" s="8">
        <f>(F8-E8)/E8</f>
        <v>-2.8169014084505853E-2</v>
      </c>
      <c r="H8" s="27" t="str">
        <f t="shared" ref="H8" si="0">IF(F8&gt;E8,"é",IF(F8&lt;E8,"ê","è"))</f>
        <v>ê</v>
      </c>
      <c r="I8" s="21">
        <v>31.497233004705201</v>
      </c>
      <c r="J8" s="8">
        <f>(I8-C8)/C8</f>
        <v>-0.13353732127863466</v>
      </c>
      <c r="K8" s="27" t="str">
        <f>IF(I8&gt;C8,"é",IF(I8&lt;C8,"ê","è"))</f>
        <v>ê</v>
      </c>
    </row>
    <row r="9" spans="2:11" ht="15" customHeight="1" x14ac:dyDescent="0.2">
      <c r="B9" s="4" t="s">
        <v>260</v>
      </c>
      <c r="C9" s="20">
        <v>4.1586308956764704</v>
      </c>
      <c r="D9" s="20">
        <v>4.4884760813003997</v>
      </c>
      <c r="E9" s="20">
        <v>4.5268798983564702</v>
      </c>
      <c r="F9" s="20">
        <v>4.6161894894461204</v>
      </c>
      <c r="G9" s="12">
        <f>(F9-E9)/E9</f>
        <v>1.9728729963009391E-2</v>
      </c>
      <c r="H9" s="29" t="str">
        <f>IF(F9&gt;E9,"é",IF(F9&lt;E9,"ê","è"))</f>
        <v>é</v>
      </c>
      <c r="I9" s="20">
        <v>4.3081742091178903</v>
      </c>
      <c r="J9" s="12">
        <f>(I9-C9)/C9</f>
        <v>3.5959746655297768E-2</v>
      </c>
      <c r="K9" s="29" t="str">
        <f>IF(I9&gt;C9,"é",IF(I9&lt;C9,"ê","è"))</f>
        <v>é</v>
      </c>
    </row>
    <row r="10" spans="2:11" ht="15" customHeight="1" x14ac:dyDescent="0.2">
      <c r="B10" t="s">
        <v>261</v>
      </c>
      <c r="C10" s="7">
        <v>17.399999999999999</v>
      </c>
      <c r="D10" s="7">
        <v>10</v>
      </c>
      <c r="E10" s="7">
        <v>11</v>
      </c>
      <c r="F10" s="7">
        <v>16</v>
      </c>
      <c r="G10" s="8">
        <f>(F10-E10)/E10</f>
        <v>0.45454545454545453</v>
      </c>
      <c r="H10" s="26" t="str">
        <f>IF(F10&gt;E10,"é",IF(F10&lt;E10,"ê","è"))</f>
        <v>é</v>
      </c>
      <c r="I10" s="7">
        <v>10.199999999999999</v>
      </c>
      <c r="J10" s="8">
        <f>(I10-C10)/C10</f>
        <v>-0.41379310344827586</v>
      </c>
      <c r="K10" s="27" t="str">
        <f>IF(I10&gt;C10,"é",IF(I10&lt;C10,"ê","è"))</f>
        <v>ê</v>
      </c>
    </row>
    <row r="11" spans="2:11" ht="15" customHeight="1" x14ac:dyDescent="0.2">
      <c r="B11" s="4" t="s">
        <v>262</v>
      </c>
      <c r="C11" s="11">
        <v>6.8</v>
      </c>
      <c r="D11" s="11">
        <v>6</v>
      </c>
      <c r="E11" s="11">
        <v>6</v>
      </c>
      <c r="F11" s="11">
        <v>10</v>
      </c>
      <c r="G11" s="12" t="s">
        <v>301</v>
      </c>
      <c r="H11" s="30"/>
      <c r="I11" s="11">
        <v>7.4</v>
      </c>
      <c r="J11" s="12">
        <f>(I11-C11)/C11</f>
        <v>8.8235294117647134E-2</v>
      </c>
      <c r="K11" s="28"/>
    </row>
    <row r="12" spans="2:11" ht="8.25" customHeight="1" x14ac:dyDescent="0.2"/>
    <row r="13" spans="2:11" ht="15" x14ac:dyDescent="0.25">
      <c r="B13" s="224" t="s">
        <v>236</v>
      </c>
      <c r="C13" s="224" t="s">
        <v>185</v>
      </c>
      <c r="D13" s="224">
        <v>2022</v>
      </c>
      <c r="E13" s="224">
        <v>2023</v>
      </c>
      <c r="F13" s="224">
        <v>2024</v>
      </c>
      <c r="G13" s="225" t="s">
        <v>237</v>
      </c>
      <c r="H13" s="225"/>
      <c r="I13" s="224" t="s">
        <v>187</v>
      </c>
      <c r="J13" s="224"/>
      <c r="K13" s="224"/>
    </row>
    <row r="14" spans="2:11" ht="60" customHeight="1" x14ac:dyDescent="0.25">
      <c r="B14" s="224"/>
      <c r="C14" s="224"/>
      <c r="D14" s="224"/>
      <c r="E14" s="224"/>
      <c r="F14" s="224"/>
      <c r="G14" s="225"/>
      <c r="H14" s="225"/>
      <c r="I14" s="18" t="s">
        <v>238</v>
      </c>
      <c r="J14" s="224" t="s">
        <v>239</v>
      </c>
      <c r="K14" s="224"/>
    </row>
    <row r="15" spans="2:11" ht="15" x14ac:dyDescent="0.25">
      <c r="B15" s="19" t="s">
        <v>241</v>
      </c>
      <c r="C15" s="19"/>
      <c r="D15" s="19"/>
      <c r="E15" s="19"/>
      <c r="F15" s="19"/>
      <c r="G15" s="19"/>
      <c r="H15" s="19"/>
      <c r="I15" s="19"/>
      <c r="J15" s="19"/>
      <c r="K15" s="19"/>
    </row>
    <row r="16" spans="2:11" x14ac:dyDescent="0.2">
      <c r="B16" s="4" t="s">
        <v>263</v>
      </c>
      <c r="C16" s="20">
        <v>34.360025714896103</v>
      </c>
      <c r="D16" s="20">
        <v>35.417528955368901</v>
      </c>
      <c r="E16" s="20">
        <v>36.576571281551203</v>
      </c>
      <c r="F16" s="20">
        <v>28.725055980275801</v>
      </c>
      <c r="G16" s="12">
        <f>(F16-E16)/E16</f>
        <v>-0.21465968586387468</v>
      </c>
      <c r="H16" s="28" t="str">
        <f>IF(F16&gt;E16,"é",IF(F16&lt;E16,"ê","è"))</f>
        <v>ê</v>
      </c>
      <c r="I16" s="20">
        <v>30.978404000726801</v>
      </c>
      <c r="J16" s="12">
        <f>(I16-C16)/C16</f>
        <v>-9.8417321984228548E-2</v>
      </c>
      <c r="K16" s="28" t="str">
        <f>IF(I16&gt;C16,"é",IF(I16&lt;C16,"ê","è"))</f>
        <v>ê</v>
      </c>
    </row>
    <row r="17" spans="2:11" ht="14.25" customHeight="1" x14ac:dyDescent="0.2">
      <c r="B17" t="s">
        <v>264</v>
      </c>
      <c r="C17" s="21">
        <v>3.33714340305638</v>
      </c>
      <c r="D17" s="21">
        <v>3.5425792459179299</v>
      </c>
      <c r="E17" s="21">
        <v>3.3268570151870498</v>
      </c>
      <c r="F17" s="21">
        <v>3.80485371277139</v>
      </c>
      <c r="G17" s="8">
        <f>(F17-E17)/E17</f>
        <v>0.14367816091953842</v>
      </c>
      <c r="H17" s="26" t="str">
        <f t="shared" ref="H17" si="1">IF(F17&gt;E17,"é",IF(F17&lt;E17,"ê","è"))</f>
        <v>é</v>
      </c>
      <c r="I17" s="21">
        <v>3.3765049336179298</v>
      </c>
      <c r="J17" s="8">
        <f>(I17-C17)/C17</f>
        <v>1.1794977262739099E-2</v>
      </c>
      <c r="K17" s="33">
        <v>1</v>
      </c>
    </row>
    <row r="18" spans="2:11" ht="8.25" customHeight="1" x14ac:dyDescent="0.2"/>
    <row r="19" spans="2:11" ht="15" x14ac:dyDescent="0.25">
      <c r="B19" s="224" t="s">
        <v>236</v>
      </c>
      <c r="C19" s="224" t="s">
        <v>185</v>
      </c>
      <c r="D19" s="224" t="s">
        <v>211</v>
      </c>
      <c r="E19" s="224" t="s">
        <v>212</v>
      </c>
      <c r="F19" s="224" t="s">
        <v>213</v>
      </c>
      <c r="G19" s="225" t="s">
        <v>237</v>
      </c>
      <c r="H19" s="225"/>
      <c r="I19" s="224" t="s">
        <v>187</v>
      </c>
      <c r="J19" s="224"/>
      <c r="K19" s="224"/>
    </row>
    <row r="20" spans="2:11" ht="60" customHeight="1" x14ac:dyDescent="0.25">
      <c r="B20" s="224"/>
      <c r="C20" s="224"/>
      <c r="D20" s="224"/>
      <c r="E20" s="224"/>
      <c r="F20" s="224"/>
      <c r="G20" s="225"/>
      <c r="H20" s="225"/>
      <c r="I20" s="18" t="s">
        <v>238</v>
      </c>
      <c r="J20" s="224" t="s">
        <v>239</v>
      </c>
      <c r="K20" s="224"/>
    </row>
    <row r="21" spans="2:11" ht="15" x14ac:dyDescent="0.25">
      <c r="B21" s="19" t="s">
        <v>242</v>
      </c>
      <c r="C21" s="19"/>
      <c r="D21" s="19"/>
      <c r="E21" s="19"/>
      <c r="F21" s="19"/>
      <c r="G21" s="19"/>
      <c r="H21" s="19"/>
      <c r="I21" s="19"/>
      <c r="J21" s="19"/>
      <c r="K21" s="19"/>
    </row>
    <row r="22" spans="2:11" ht="14.25" customHeight="1" x14ac:dyDescent="0.2">
      <c r="B22" s="4" t="s">
        <v>265</v>
      </c>
      <c r="C22" s="20">
        <v>55.190292465618803</v>
      </c>
      <c r="D22" s="20">
        <v>56.375517258735997</v>
      </c>
      <c r="E22" s="20">
        <v>61.605462400468099</v>
      </c>
      <c r="F22" s="20">
        <v>62.357478626819201</v>
      </c>
      <c r="G22" s="31">
        <f>(F22-E22)/E22</f>
        <v>1.2206973165181347E-2</v>
      </c>
      <c r="H22" s="32">
        <v>1</v>
      </c>
      <c r="I22" s="20">
        <v>62.357478626819201</v>
      </c>
      <c r="J22" s="12">
        <f>(I22-C22)/C22</f>
        <v>0.12986316689054056</v>
      </c>
      <c r="K22" s="29" t="str">
        <f>IF(I22&gt;C22,"é",IF(I22&lt;C22,"ê","è"))</f>
        <v>é</v>
      </c>
    </row>
    <row r="23" spans="2:11" ht="13.5" customHeight="1" x14ac:dyDescent="0.2">
      <c r="B23" t="s">
        <v>266</v>
      </c>
      <c r="C23" s="21">
        <v>207.93203017990101</v>
      </c>
      <c r="D23" s="21">
        <v>304.49426138382802</v>
      </c>
      <c r="E23" s="21">
        <v>308.46348774859098</v>
      </c>
      <c r="F23" s="21">
        <v>334.63673137047101</v>
      </c>
      <c r="G23" s="8">
        <f>(F23-E23)/E23</f>
        <v>8.4850378282735964E-2</v>
      </c>
      <c r="H23" s="33">
        <v>1</v>
      </c>
      <c r="I23" s="21">
        <v>334.63673137047101</v>
      </c>
      <c r="J23" s="8">
        <f>(I23-C23)/C23</f>
        <v>0.6093563414974893</v>
      </c>
      <c r="K23" s="34" t="str">
        <f>IF(I23&gt;C23,"é",IF(I23&lt;C23,"ê","è"))</f>
        <v>é</v>
      </c>
    </row>
    <row r="24" spans="2:11" ht="8.25" customHeight="1" x14ac:dyDescent="0.2"/>
    <row r="25" spans="2:11" ht="15" x14ac:dyDescent="0.25">
      <c r="B25" s="224" t="s">
        <v>236</v>
      </c>
      <c r="C25" s="224" t="s">
        <v>185</v>
      </c>
      <c r="D25" s="224">
        <v>2022</v>
      </c>
      <c r="E25" s="224">
        <v>2023</v>
      </c>
      <c r="F25" s="224">
        <v>2024</v>
      </c>
      <c r="G25" s="225" t="s">
        <v>237</v>
      </c>
      <c r="H25" s="225"/>
      <c r="I25" s="224" t="s">
        <v>187</v>
      </c>
      <c r="J25" s="224"/>
      <c r="K25" s="224"/>
    </row>
    <row r="26" spans="2:11" ht="60" customHeight="1" x14ac:dyDescent="0.25">
      <c r="B26" s="224"/>
      <c r="C26" s="224"/>
      <c r="D26" s="224"/>
      <c r="E26" s="224"/>
      <c r="F26" s="224"/>
      <c r="G26" s="225"/>
      <c r="H26" s="225"/>
      <c r="I26" s="18" t="s">
        <v>238</v>
      </c>
      <c r="J26" s="224" t="s">
        <v>239</v>
      </c>
      <c r="K26" s="224"/>
    </row>
    <row r="27" spans="2:11" ht="15" x14ac:dyDescent="0.25">
      <c r="B27" s="19" t="s">
        <v>243</v>
      </c>
      <c r="C27" s="19"/>
      <c r="D27" s="19"/>
      <c r="E27" s="19"/>
      <c r="F27" s="19"/>
      <c r="G27" s="19"/>
      <c r="H27" s="19"/>
      <c r="I27" s="19"/>
      <c r="J27" s="19"/>
      <c r="K27" s="19"/>
    </row>
    <row r="28" spans="2:11" x14ac:dyDescent="0.2">
      <c r="B28" s="4" t="s">
        <v>267</v>
      </c>
      <c r="C28" s="20">
        <v>42.350350821149398</v>
      </c>
      <c r="D28" s="20">
        <v>42.799154829321502</v>
      </c>
      <c r="E28" s="20">
        <v>44.789555607785402</v>
      </c>
      <c r="F28" s="20">
        <v>51.4414698069615</v>
      </c>
      <c r="G28" s="12">
        <f>(F28-E28)/E28</f>
        <v>0.14851485148514959</v>
      </c>
      <c r="H28" s="29" t="str">
        <f>IF(F28&gt;E28,"é",IF(F28&lt;E28,"ê","è"))</f>
        <v>é</v>
      </c>
      <c r="I28" s="20">
        <v>41.110899821611298</v>
      </c>
      <c r="J28" s="12">
        <f>(I28-C28)/C28</f>
        <v>-2.926660524661177E-2</v>
      </c>
      <c r="K28" s="28" t="str">
        <f>IF(I28&gt;C28,"é",IF(I28&lt;C28,"ê","è"))</f>
        <v>ê</v>
      </c>
    </row>
    <row r="29" spans="2:11" x14ac:dyDescent="0.2">
      <c r="B29" t="s">
        <v>268</v>
      </c>
      <c r="C29" s="7">
        <v>244</v>
      </c>
      <c r="D29" s="7">
        <v>245</v>
      </c>
      <c r="E29" s="7">
        <v>240</v>
      </c>
      <c r="F29" s="7">
        <v>268</v>
      </c>
      <c r="G29" s="8">
        <f>(F29-E29)/E29</f>
        <v>0.11666666666666667</v>
      </c>
      <c r="H29" s="26" t="str">
        <f t="shared" ref="H29" si="2">IF(F29&gt;E29,"é",IF(F29&lt;E29,"ê","è"))</f>
        <v>é</v>
      </c>
      <c r="I29" s="7">
        <v>225.2</v>
      </c>
      <c r="J29" s="8">
        <f>(I29-C29)/C29</f>
        <v>-7.7049180327868894E-2</v>
      </c>
      <c r="K29" s="27" t="str">
        <f>IF(I29&gt;C29,"é",IF(I29&lt;C29,"ê","è"))</f>
        <v>ê</v>
      </c>
    </row>
    <row r="30" spans="2:11" ht="8.25" customHeight="1" x14ac:dyDescent="0.2"/>
    <row r="31" spans="2:11" ht="15" x14ac:dyDescent="0.25">
      <c r="B31" s="224" t="s">
        <v>236</v>
      </c>
      <c r="C31" s="224" t="s">
        <v>185</v>
      </c>
      <c r="D31" s="224">
        <v>2022</v>
      </c>
      <c r="E31" s="224">
        <v>2023</v>
      </c>
      <c r="F31" s="224">
        <v>2024</v>
      </c>
      <c r="G31" s="225" t="s">
        <v>237</v>
      </c>
      <c r="H31" s="225"/>
      <c r="I31" s="224" t="s">
        <v>187</v>
      </c>
      <c r="J31" s="224"/>
      <c r="K31" s="224"/>
    </row>
    <row r="32" spans="2:11" ht="60" customHeight="1" x14ac:dyDescent="0.25">
      <c r="B32" s="224"/>
      <c r="C32" s="224"/>
      <c r="D32" s="224"/>
      <c r="E32" s="224"/>
      <c r="F32" s="224"/>
      <c r="G32" s="225"/>
      <c r="H32" s="225"/>
      <c r="I32" s="18" t="s">
        <v>238</v>
      </c>
      <c r="J32" s="224" t="s">
        <v>239</v>
      </c>
      <c r="K32" s="224"/>
    </row>
    <row r="33" spans="2:11" ht="15" x14ac:dyDescent="0.25">
      <c r="B33" s="19" t="s">
        <v>244</v>
      </c>
      <c r="C33" s="19"/>
      <c r="D33" s="19"/>
      <c r="E33" s="19"/>
      <c r="F33" s="19"/>
      <c r="G33" s="19"/>
      <c r="H33" s="19"/>
      <c r="I33" s="19"/>
      <c r="J33" s="19"/>
      <c r="K33" s="19"/>
    </row>
    <row r="34" spans="2:11" x14ac:dyDescent="0.2">
      <c r="B34" s="4" t="s">
        <v>269</v>
      </c>
      <c r="C34" s="11">
        <v>44</v>
      </c>
      <c r="D34" s="11">
        <v>30</v>
      </c>
      <c r="E34" s="11">
        <v>47</v>
      </c>
      <c r="F34" s="11">
        <v>48</v>
      </c>
      <c r="G34" s="12">
        <f>(F34-E34)/E34</f>
        <v>2.1276595744680851E-2</v>
      </c>
      <c r="H34" s="29" t="str">
        <f>IF(F34&gt;E34,"é",IF(F34&lt;E34,"ê","è"))</f>
        <v>é</v>
      </c>
      <c r="I34" s="11">
        <v>40.200000000000003</v>
      </c>
      <c r="J34" s="12">
        <f>(I34-C34)/C34</f>
        <v>-8.6363636363636295E-2</v>
      </c>
      <c r="K34" s="28" t="str">
        <f>IF(I34&gt;C34,"é",IF(I34&lt;C34,"ê","è"))</f>
        <v>ê</v>
      </c>
    </row>
    <row r="35" spans="2:11" x14ac:dyDescent="0.2">
      <c r="B35" t="s">
        <v>270</v>
      </c>
      <c r="C35" s="7">
        <v>2.2000000000000002</v>
      </c>
      <c r="D35" s="7">
        <v>2</v>
      </c>
      <c r="E35" s="7">
        <v>1</v>
      </c>
      <c r="F35" s="7">
        <v>1</v>
      </c>
      <c r="G35" s="35" t="s">
        <v>301</v>
      </c>
      <c r="I35" s="7">
        <v>1.4</v>
      </c>
      <c r="J35" s="35" t="s">
        <v>301</v>
      </c>
    </row>
    <row r="36" spans="2:11" ht="8.25" customHeight="1" x14ac:dyDescent="0.2"/>
    <row r="37" spans="2:11" ht="15" x14ac:dyDescent="0.25">
      <c r="B37" s="224" t="s">
        <v>236</v>
      </c>
      <c r="C37" s="224" t="s">
        <v>185</v>
      </c>
      <c r="D37" s="224">
        <v>2022</v>
      </c>
      <c r="E37" s="224">
        <v>2023</v>
      </c>
      <c r="F37" s="224">
        <v>2024</v>
      </c>
      <c r="G37" s="225" t="s">
        <v>237</v>
      </c>
      <c r="H37" s="225"/>
      <c r="I37" s="224" t="s">
        <v>187</v>
      </c>
      <c r="J37" s="224"/>
      <c r="K37" s="224"/>
    </row>
    <row r="38" spans="2:11" ht="60" customHeight="1" x14ac:dyDescent="0.25">
      <c r="B38" s="224"/>
      <c r="C38" s="224"/>
      <c r="D38" s="224"/>
      <c r="E38" s="224"/>
      <c r="F38" s="224"/>
      <c r="G38" s="225"/>
      <c r="H38" s="225"/>
      <c r="I38" s="18" t="s">
        <v>238</v>
      </c>
      <c r="J38" s="224" t="s">
        <v>239</v>
      </c>
      <c r="K38" s="224"/>
    </row>
    <row r="39" spans="2:11" ht="15" x14ac:dyDescent="0.25">
      <c r="B39" s="19" t="s">
        <v>245</v>
      </c>
      <c r="C39" s="19"/>
      <c r="D39" s="19"/>
      <c r="E39" s="19"/>
      <c r="F39" s="19"/>
      <c r="G39" s="19"/>
      <c r="H39" s="19"/>
      <c r="I39" s="19"/>
      <c r="J39" s="19"/>
      <c r="K39" s="19"/>
    </row>
    <row r="40" spans="2:11" x14ac:dyDescent="0.2">
      <c r="B40" s="4" t="s">
        <v>271</v>
      </c>
      <c r="C40" s="20">
        <v>20.4850525004343</v>
      </c>
      <c r="D40" s="20">
        <v>18.8796129679342</v>
      </c>
      <c r="E40" s="20">
        <v>21.8295524941739</v>
      </c>
      <c r="F40" s="20">
        <v>25.369479925661501</v>
      </c>
      <c r="G40" s="12">
        <f>(F40-E40)/E40</f>
        <v>0.16216216216215951</v>
      </c>
      <c r="H40" s="29" t="str">
        <f>IF(F40&gt;E40,"é",IF(F40&lt;E40,"ê","è"))</f>
        <v>é</v>
      </c>
      <c r="I40" s="20">
        <v>21.110606605614901</v>
      </c>
      <c r="J40" s="12">
        <f>(I40-C40)/C40</f>
        <v>3.0537100413452152E-2</v>
      </c>
      <c r="K40" s="29" t="str">
        <f>IF(I40&gt;C40,"é",IF(I40&lt;C40,"ê","è"))</f>
        <v>é</v>
      </c>
    </row>
    <row r="41" spans="2:11" x14ac:dyDescent="0.2">
      <c r="B41" t="s">
        <v>272</v>
      </c>
      <c r="C41" s="21">
        <v>4.8253341263339804</v>
      </c>
      <c r="D41" s="21">
        <v>5.5314323644107599</v>
      </c>
      <c r="E41" s="21">
        <v>7.1908620737339897</v>
      </c>
      <c r="F41" s="21">
        <v>3.3188594186464599</v>
      </c>
      <c r="G41" s="35" t="s">
        <v>301</v>
      </c>
      <c r="H41" s="26"/>
      <c r="I41" s="21">
        <v>4.7572686639819404</v>
      </c>
      <c r="J41" s="35" t="s">
        <v>301</v>
      </c>
      <c r="K41" s="27"/>
    </row>
    <row r="42" spans="2:11" x14ac:dyDescent="0.2">
      <c r="B42" s="4" t="s">
        <v>273</v>
      </c>
      <c r="C42" s="20">
        <v>22.750422692512501</v>
      </c>
      <c r="D42" s="20">
        <v>27.6118279030072</v>
      </c>
      <c r="E42" s="20">
        <v>22.591495557005899</v>
      </c>
      <c r="F42" s="20">
        <v>25.101661730006501</v>
      </c>
      <c r="G42" s="12">
        <f>(F42-E42)/E42</f>
        <v>0.11111111111110875</v>
      </c>
      <c r="H42" s="29" t="str">
        <f>IF(F42&gt;E42,"é",IF(F42&lt;E42,"ê","è"))</f>
        <v>é</v>
      </c>
      <c r="I42" s="20">
        <v>26.0932834884713</v>
      </c>
      <c r="J42" s="12">
        <f>(I42-C42)/C42</f>
        <v>0.14693620602745916</v>
      </c>
      <c r="K42" s="29" t="str">
        <f>IF(I42&gt;C42,"é",IF(I42&lt;C42,"ê","è"))</f>
        <v>é</v>
      </c>
    </row>
    <row r="43" spans="2:11" x14ac:dyDescent="0.2">
      <c r="B43" t="s">
        <v>274</v>
      </c>
      <c r="C43" s="21">
        <v>4.4100599768156803</v>
      </c>
      <c r="D43" s="21">
        <v>6.1844831318222599</v>
      </c>
      <c r="E43" s="21">
        <v>12.3689662636445</v>
      </c>
      <c r="F43" s="21">
        <v>3.09224156591113</v>
      </c>
      <c r="G43" s="35" t="s">
        <v>301</v>
      </c>
      <c r="I43" s="21">
        <v>5.5643141982750599</v>
      </c>
      <c r="J43" s="35" t="s">
        <v>301</v>
      </c>
    </row>
    <row r="44" spans="2:11" ht="8.25" customHeight="1" x14ac:dyDescent="0.2"/>
    <row r="45" spans="2:11" ht="15" x14ac:dyDescent="0.25">
      <c r="B45" s="224" t="s">
        <v>236</v>
      </c>
      <c r="C45" s="224" t="s">
        <v>246</v>
      </c>
      <c r="D45" s="226" t="s">
        <v>578</v>
      </c>
      <c r="E45" s="226" t="s">
        <v>579</v>
      </c>
      <c r="F45" s="226" t="s">
        <v>580</v>
      </c>
      <c r="G45" s="225" t="s">
        <v>237</v>
      </c>
      <c r="H45" s="225"/>
      <c r="I45" s="224" t="s">
        <v>187</v>
      </c>
      <c r="J45" s="224"/>
      <c r="K45" s="224"/>
    </row>
    <row r="46" spans="2:11" ht="60" customHeight="1" x14ac:dyDescent="0.25">
      <c r="B46" s="224"/>
      <c r="C46" s="224"/>
      <c r="D46" s="226"/>
      <c r="E46" s="226"/>
      <c r="F46" s="226"/>
      <c r="G46" s="225"/>
      <c r="H46" s="225"/>
      <c r="I46" s="18" t="s">
        <v>238</v>
      </c>
      <c r="J46" s="224" t="s">
        <v>239</v>
      </c>
      <c r="K46" s="224"/>
    </row>
    <row r="47" spans="2:11" ht="15" x14ac:dyDescent="0.25">
      <c r="B47" s="19" t="s">
        <v>247</v>
      </c>
      <c r="C47" s="19"/>
      <c r="D47" s="19"/>
      <c r="E47" s="19"/>
      <c r="F47" s="19"/>
      <c r="G47" s="19"/>
      <c r="H47" s="19"/>
      <c r="I47" s="19"/>
      <c r="J47" s="19"/>
      <c r="K47" s="19"/>
    </row>
    <row r="48" spans="2:11" ht="14.25" customHeight="1" x14ac:dyDescent="0.2">
      <c r="B48" s="4" t="s">
        <v>275</v>
      </c>
      <c r="C48" s="12">
        <v>0.82357301704966601</v>
      </c>
      <c r="D48" s="12">
        <v>0.78848368522072931</v>
      </c>
      <c r="E48" s="12">
        <v>0.76430205949656749</v>
      </c>
      <c r="F48" s="12">
        <v>0.7809452363090772</v>
      </c>
      <c r="G48" s="12">
        <v>2.1775653494211799E-2</v>
      </c>
      <c r="H48" s="30">
        <v>1</v>
      </c>
      <c r="I48" s="12">
        <v>0.7809452363090772</v>
      </c>
      <c r="J48" s="12">
        <v>-5.1759564553604802E-2</v>
      </c>
      <c r="K48" s="30">
        <v>1</v>
      </c>
    </row>
    <row r="49" spans="2:11" ht="14.25" customHeight="1" x14ac:dyDescent="0.2">
      <c r="B49" t="s">
        <v>276</v>
      </c>
      <c r="C49" s="8">
        <v>0.913322632423756</v>
      </c>
      <c r="D49" s="8">
        <v>0.89147286821705429</v>
      </c>
      <c r="E49" s="8">
        <v>0.87523629489603028</v>
      </c>
      <c r="F49" s="8">
        <v>0.87634408602150538</v>
      </c>
      <c r="G49" s="8">
        <v>1.2657051951972518E-3</v>
      </c>
      <c r="H49" s="36">
        <v>1</v>
      </c>
      <c r="I49" s="8">
        <v>0.87634408602150538</v>
      </c>
      <c r="J49" s="8">
        <v>-4.0487933934274412E-2</v>
      </c>
      <c r="K49" s="36">
        <v>1</v>
      </c>
    </row>
    <row r="50" spans="2:11" ht="15" x14ac:dyDescent="0.25">
      <c r="B50" s="224" t="s">
        <v>236</v>
      </c>
      <c r="C50" s="224" t="s">
        <v>248</v>
      </c>
      <c r="D50" s="226" t="s">
        <v>581</v>
      </c>
      <c r="E50" s="226" t="s">
        <v>582</v>
      </c>
      <c r="F50" s="226" t="s">
        <v>583</v>
      </c>
      <c r="G50" s="225" t="s">
        <v>237</v>
      </c>
      <c r="H50" s="225"/>
      <c r="I50" s="224" t="s">
        <v>187</v>
      </c>
      <c r="J50" s="224"/>
      <c r="K50" s="224"/>
    </row>
    <row r="51" spans="2:11" ht="60" customHeight="1" x14ac:dyDescent="0.25">
      <c r="B51" s="224"/>
      <c r="C51" s="224"/>
      <c r="D51" s="226"/>
      <c r="E51" s="226"/>
      <c r="F51" s="224"/>
      <c r="G51" s="225"/>
      <c r="H51" s="225"/>
      <c r="I51" s="37" t="s">
        <v>584</v>
      </c>
      <c r="J51" s="224" t="s">
        <v>239</v>
      </c>
      <c r="K51" s="224"/>
    </row>
    <row r="52" spans="2:11" ht="15" x14ac:dyDescent="0.25">
      <c r="B52" s="19" t="s">
        <v>249</v>
      </c>
      <c r="C52" s="19"/>
      <c r="D52" s="38"/>
      <c r="E52" s="38"/>
      <c r="F52" s="19"/>
      <c r="G52" s="19"/>
      <c r="H52" s="19"/>
      <c r="I52" s="19"/>
      <c r="J52" s="19"/>
      <c r="K52" s="19"/>
    </row>
    <row r="53" spans="2:11" x14ac:dyDescent="0.2">
      <c r="B53" s="4" t="s">
        <v>277</v>
      </c>
      <c r="C53" s="11">
        <v>36.734139613834103</v>
      </c>
      <c r="D53" s="11">
        <v>40.543778801843317</v>
      </c>
      <c r="E53" s="11">
        <v>48.234457248541766</v>
      </c>
      <c r="F53" s="11">
        <v>51.137159795203445</v>
      </c>
      <c r="G53" s="12">
        <f>(F53-E53)/E53</f>
        <v>6.0179023715446374E-2</v>
      </c>
      <c r="H53" s="29" t="str">
        <f>IF(F53&gt;E53,"é",IF(F53&lt;E53,"ê","è"))</f>
        <v>é</v>
      </c>
      <c r="I53" s="11">
        <v>51.137159795203445</v>
      </c>
      <c r="J53" s="12">
        <f>(I53-C53)/C53</f>
        <v>0.39208813198785675</v>
      </c>
      <c r="K53" s="29" t="str">
        <f>IF(I53&gt;C53,"é",IF(I53&lt;C53,"ê","è"))</f>
        <v>é</v>
      </c>
    </row>
    <row r="54" spans="2:11" x14ac:dyDescent="0.2">
      <c r="B54" t="s">
        <v>278</v>
      </c>
      <c r="C54" s="7">
        <v>26.583916825801001</v>
      </c>
      <c r="D54" s="7">
        <v>25.244239631336406</v>
      </c>
      <c r="E54" s="7">
        <v>31.166880068288521</v>
      </c>
      <c r="F54" s="7">
        <v>38.352869846402584</v>
      </c>
      <c r="G54" s="8">
        <f>(F54-E54)/E54</f>
        <v>0.2305649382411433</v>
      </c>
      <c r="H54" s="26" t="str">
        <f t="shared" ref="H54:H57" si="3">IF(F54&gt;E54,"é",IF(F54&lt;E54,"ê","è"))</f>
        <v>é</v>
      </c>
      <c r="I54" s="7">
        <v>38.352869846402584</v>
      </c>
      <c r="J54" s="8">
        <f>(I54-C54)/C54</f>
        <v>0.44270951860559665</v>
      </c>
      <c r="K54" s="26" t="str">
        <f>IF(I54&gt;C54,"é",IF(I54&lt;C54,"ê","è"))</f>
        <v>é</v>
      </c>
    </row>
    <row r="55" spans="2:11" x14ac:dyDescent="0.2">
      <c r="B55" s="4" t="s">
        <v>279</v>
      </c>
      <c r="C55" s="11">
        <v>19.817101633778901</v>
      </c>
      <c r="D55" s="11">
        <v>21.41935483870968</v>
      </c>
      <c r="E55" s="11">
        <v>27.085502916488831</v>
      </c>
      <c r="F55" s="11">
        <v>35.796011856642409</v>
      </c>
      <c r="G55" s="12">
        <f t="shared" ref="G55:G57" si="4">(F55-E55)/E55</f>
        <v>0.32159302956309088</v>
      </c>
      <c r="H55" s="29" t="str">
        <f t="shared" si="3"/>
        <v>é</v>
      </c>
      <c r="I55" s="11">
        <v>35.796011856642409</v>
      </c>
      <c r="J55" s="12">
        <f t="shared" ref="J55:J57" si="5">(I55-C55)/C55</f>
        <v>0.80631923467692823</v>
      </c>
      <c r="K55" s="29" t="str">
        <f t="shared" ref="K55:K57" si="6">IF(I55&gt;C55,"é",IF(I55&lt;C55,"ê","è"))</f>
        <v>é</v>
      </c>
    </row>
    <row r="56" spans="2:11" x14ac:dyDescent="0.2">
      <c r="B56" t="s">
        <v>280</v>
      </c>
      <c r="C56" s="7">
        <v>29.967324421811998</v>
      </c>
      <c r="D56" s="7">
        <v>14.152073732718895</v>
      </c>
      <c r="E56" s="7">
        <v>18.180680039834968</v>
      </c>
      <c r="F56" s="7">
        <v>18.993802209646994</v>
      </c>
      <c r="G56" s="8">
        <f t="shared" si="4"/>
        <v>4.4724518996562608E-2</v>
      </c>
      <c r="H56" s="26" t="str">
        <f t="shared" si="3"/>
        <v>é</v>
      </c>
      <c r="I56" s="7">
        <v>18.993802209646994</v>
      </c>
      <c r="J56" s="8">
        <f t="shared" si="5"/>
        <v>-0.36618291502119632</v>
      </c>
      <c r="K56" s="27" t="str">
        <f t="shared" si="6"/>
        <v>ê</v>
      </c>
    </row>
    <row r="57" spans="2:11" x14ac:dyDescent="0.2">
      <c r="B57" s="4" t="s">
        <v>281</v>
      </c>
      <c r="C57" s="11">
        <v>113.102482495226</v>
      </c>
      <c r="D57" s="11">
        <v>101.35944700460828</v>
      </c>
      <c r="E57" s="11">
        <v>124.66752027315408</v>
      </c>
      <c r="F57" s="11">
        <v>144.27984370789545</v>
      </c>
      <c r="G57" s="12">
        <f t="shared" si="4"/>
        <v>0.15731702525059921</v>
      </c>
      <c r="H57" s="29" t="str">
        <f t="shared" si="3"/>
        <v>é</v>
      </c>
      <c r="I57" s="11">
        <v>144.27984370789545</v>
      </c>
      <c r="J57" s="12">
        <f t="shared" si="5"/>
        <v>0.27565585232831147</v>
      </c>
      <c r="K57" s="29" t="str">
        <f t="shared" si="6"/>
        <v>é</v>
      </c>
    </row>
    <row r="58" spans="2:11" ht="8.25" customHeight="1" x14ac:dyDescent="0.2"/>
    <row r="59" spans="2:11" ht="15" x14ac:dyDescent="0.25">
      <c r="B59" s="224" t="s">
        <v>236</v>
      </c>
      <c r="C59" s="224" t="s">
        <v>250</v>
      </c>
      <c r="D59" s="226">
        <v>2022</v>
      </c>
      <c r="E59" s="226">
        <v>2023</v>
      </c>
      <c r="F59" s="224">
        <v>2024</v>
      </c>
      <c r="G59" s="225" t="s">
        <v>237</v>
      </c>
      <c r="H59" s="225"/>
      <c r="I59" s="224" t="s">
        <v>187</v>
      </c>
      <c r="J59" s="224"/>
      <c r="K59" s="224"/>
    </row>
    <row r="60" spans="2:11" ht="60" customHeight="1" x14ac:dyDescent="0.25">
      <c r="B60" s="224"/>
      <c r="C60" s="224"/>
      <c r="D60" s="226"/>
      <c r="E60" s="226"/>
      <c r="F60" s="224"/>
      <c r="G60" s="225"/>
      <c r="H60" s="225"/>
      <c r="I60" s="18" t="s">
        <v>238</v>
      </c>
      <c r="J60" s="224" t="s">
        <v>239</v>
      </c>
      <c r="K60" s="224"/>
    </row>
    <row r="61" spans="2:11" ht="15" x14ac:dyDescent="0.25">
      <c r="B61" s="19" t="s">
        <v>251</v>
      </c>
      <c r="C61" s="19"/>
      <c r="D61" s="38"/>
      <c r="E61" s="38"/>
      <c r="F61" s="19"/>
      <c r="G61" s="19"/>
      <c r="H61" s="19"/>
      <c r="I61" s="19"/>
      <c r="J61" s="19"/>
      <c r="K61" s="19"/>
    </row>
    <row r="62" spans="2:11" x14ac:dyDescent="0.2">
      <c r="B62" s="4" t="s">
        <v>282</v>
      </c>
      <c r="C62" s="12">
        <v>0.65622999059341902</v>
      </c>
      <c r="D62" s="12">
        <v>0.68127803572833867</v>
      </c>
      <c r="E62" s="12">
        <v>0.6517992313962967</v>
      </c>
      <c r="F62" s="12">
        <v>0.75005355712258825</v>
      </c>
      <c r="G62" s="12">
        <f>(F62-E62)/E62</f>
        <v>0.15074323655738175</v>
      </c>
      <c r="H62" s="29" t="str">
        <f>IF(F62&gt;E62,"é",IF(F62&lt;E62,"ê","è"))</f>
        <v>é</v>
      </c>
      <c r="I62" s="12">
        <v>0.75005355712258825</v>
      </c>
      <c r="J62" s="12">
        <f>(I62-C62)/C62</f>
        <v>0.14297360357506059</v>
      </c>
      <c r="K62" s="29" t="str">
        <f>IF(I62&gt;C62,"é",IF(I62&lt;C62,"ê","è"))</f>
        <v>é</v>
      </c>
    </row>
    <row r="63" spans="2:11" x14ac:dyDescent="0.2">
      <c r="B63" t="s">
        <v>283</v>
      </c>
      <c r="C63" s="8">
        <v>0.41761487384979701</v>
      </c>
      <c r="D63" s="8">
        <v>0.43867842079264358</v>
      </c>
      <c r="E63" s="8">
        <v>0.49685208760384075</v>
      </c>
      <c r="F63" s="8">
        <v>0.41455268320612754</v>
      </c>
      <c r="G63" s="8">
        <f>(F63-E63)/E63</f>
        <v>-0.16564165966297337</v>
      </c>
      <c r="H63" s="27" t="str">
        <f t="shared" ref="H63:H65" si="7">IF(F63&gt;E63,"é",IF(F63&lt;E63,"ê","è"))</f>
        <v>ê</v>
      </c>
      <c r="I63" s="8">
        <v>0.41455268320612754</v>
      </c>
      <c r="J63" s="8">
        <f>(I63-C63)/C63</f>
        <v>-7.33257083360217E-3</v>
      </c>
      <c r="K63" s="27" t="str">
        <f>IF(I63&gt;C63,"é",IF(I63&lt;C63,"ê","è"))</f>
        <v>ê</v>
      </c>
    </row>
    <row r="64" spans="2:11" x14ac:dyDescent="0.2">
      <c r="B64" s="4" t="s">
        <v>284</v>
      </c>
      <c r="C64" s="12">
        <v>0.204323687290449</v>
      </c>
      <c r="D64" s="12">
        <v>0.21710173773252697</v>
      </c>
      <c r="E64" s="12">
        <v>0.19169370429212476</v>
      </c>
      <c r="F64" s="12">
        <v>0.24429921146191771</v>
      </c>
      <c r="G64" s="12">
        <f t="shared" ref="G64:G65" si="8">(F64-E64)/E64</f>
        <v>0.2744248036942657</v>
      </c>
      <c r="H64" s="29" t="str">
        <f t="shared" si="7"/>
        <v>é</v>
      </c>
      <c r="I64" s="12">
        <v>0.24429921146191771</v>
      </c>
      <c r="J64" s="12">
        <f t="shared" ref="J64:J65" si="9">(I64-C64)/C64</f>
        <v>0.19564801664254886</v>
      </c>
      <c r="K64" s="29" t="str">
        <f t="shared" ref="K64:K65" si="10">IF(I64&gt;C64,"é",IF(I64&lt;C64,"ê","è"))</f>
        <v>é</v>
      </c>
    </row>
    <row r="65" spans="2:11" x14ac:dyDescent="0.2">
      <c r="B65" t="s">
        <v>285</v>
      </c>
      <c r="C65" s="8">
        <v>0.21210789160198601</v>
      </c>
      <c r="D65" s="8">
        <v>0.26695855224751897</v>
      </c>
      <c r="E65" s="8">
        <v>0.31782727847656522</v>
      </c>
      <c r="F65" s="8">
        <v>0.3317167458014097</v>
      </c>
      <c r="G65" s="8">
        <f t="shared" si="8"/>
        <v>4.3701306544298414E-2</v>
      </c>
      <c r="H65" s="26" t="str">
        <f t="shared" si="7"/>
        <v>é</v>
      </c>
      <c r="I65" s="8">
        <v>0.3317167458014097</v>
      </c>
      <c r="J65" s="8">
        <f t="shared" si="9"/>
        <v>0.56390572409189776</v>
      </c>
      <c r="K65" s="26" t="str">
        <f t="shared" si="10"/>
        <v>é</v>
      </c>
    </row>
    <row r="66" spans="2:11" ht="8.25" customHeight="1" x14ac:dyDescent="0.2"/>
    <row r="67" spans="2:11" ht="15" x14ac:dyDescent="0.25">
      <c r="B67" s="224" t="s">
        <v>236</v>
      </c>
      <c r="C67" s="224" t="s">
        <v>185</v>
      </c>
      <c r="D67" s="224">
        <v>2022</v>
      </c>
      <c r="E67" s="224">
        <v>2023</v>
      </c>
      <c r="F67" s="224">
        <v>2024</v>
      </c>
      <c r="G67" s="225" t="s">
        <v>252</v>
      </c>
      <c r="H67" s="225"/>
      <c r="I67" s="224" t="s">
        <v>187</v>
      </c>
      <c r="J67" s="224"/>
      <c r="K67" s="224"/>
    </row>
    <row r="68" spans="2:11" ht="60" customHeight="1" x14ac:dyDescent="0.25">
      <c r="B68" s="224"/>
      <c r="C68" s="224"/>
      <c r="D68" s="224"/>
      <c r="E68" s="224"/>
      <c r="F68" s="224"/>
      <c r="G68" s="225"/>
      <c r="H68" s="225"/>
      <c r="I68" s="18" t="s">
        <v>238</v>
      </c>
      <c r="J68" s="224" t="s">
        <v>253</v>
      </c>
      <c r="K68" s="224"/>
    </row>
    <row r="69" spans="2:11" ht="15" x14ac:dyDescent="0.25">
      <c r="B69" s="19" t="s">
        <v>254</v>
      </c>
      <c r="C69" s="19"/>
      <c r="D69" s="19"/>
      <c r="E69" s="19"/>
      <c r="F69" s="19"/>
      <c r="G69" s="19"/>
      <c r="H69" s="19"/>
      <c r="I69" s="19"/>
      <c r="J69" s="19"/>
      <c r="K69" s="19"/>
    </row>
    <row r="70" spans="2:11" x14ac:dyDescent="0.2">
      <c r="B70" s="4" t="s">
        <v>286</v>
      </c>
      <c r="C70" s="12">
        <v>0.40372670807453398</v>
      </c>
      <c r="D70" s="12">
        <v>0.36842105263157898</v>
      </c>
      <c r="E70" s="12">
        <v>0.30434782608695699</v>
      </c>
      <c r="F70" s="12">
        <v>0.13636363636363599</v>
      </c>
      <c r="G70" s="12">
        <f>(F70-E70)</f>
        <v>-0.16798418972332099</v>
      </c>
      <c r="H70" s="28" t="str">
        <f>IF(F70&gt;E70,"é",IF(F70&lt;E70,"ê","è"))</f>
        <v>ê</v>
      </c>
      <c r="I70" s="12">
        <v>0.302222222222222</v>
      </c>
      <c r="J70" s="12">
        <f>(I70-C70)</f>
        <v>-0.10150448585231198</v>
      </c>
      <c r="K70" s="28" t="str">
        <f>IF(I70&gt;C70,"é",IF(I70&lt;C70,"ê","è"))</f>
        <v>ê</v>
      </c>
    </row>
    <row r="71" spans="2:11" x14ac:dyDescent="0.2">
      <c r="B71" t="s">
        <v>287</v>
      </c>
      <c r="C71" s="8">
        <v>0.41379310344827602</v>
      </c>
      <c r="D71" s="8">
        <v>0.42424242424242398</v>
      </c>
      <c r="E71" s="8">
        <v>0.50526315789473697</v>
      </c>
      <c r="F71" s="8">
        <v>0.36363636363636398</v>
      </c>
      <c r="G71" s="8">
        <f>(F71-E71)</f>
        <v>-0.14162679425837299</v>
      </c>
      <c r="H71" s="27" t="str">
        <f t="shared" ref="H71:H73" si="11">IF(F71&gt;E71,"é",IF(F71&lt;E71,"ê","è"))</f>
        <v>ê</v>
      </c>
      <c r="I71" s="8">
        <v>0.40501043841336098</v>
      </c>
      <c r="J71" s="8">
        <f>(I71-C71)</f>
        <v>-8.7826650349150381E-3</v>
      </c>
      <c r="K71" s="27" t="str">
        <f>IF(I71&gt;C71,"é",IF(I71&lt;C71,"ê","è"))</f>
        <v>ê</v>
      </c>
    </row>
    <row r="72" spans="2:11" x14ac:dyDescent="0.2">
      <c r="B72" s="4" t="s">
        <v>288</v>
      </c>
      <c r="C72" s="12">
        <v>0.16666666666666699</v>
      </c>
      <c r="D72" s="12">
        <v>0.4375</v>
      </c>
      <c r="E72" s="12">
        <v>0.36363636363636398</v>
      </c>
      <c r="F72" s="12">
        <v>0.60377358490566002</v>
      </c>
      <c r="G72" s="12">
        <f>(F72-E72)</f>
        <v>0.24013722126929604</v>
      </c>
      <c r="H72" s="29" t="str">
        <f t="shared" si="11"/>
        <v>é</v>
      </c>
      <c r="I72" s="12">
        <v>0.429824561403509</v>
      </c>
      <c r="J72" s="12">
        <f>(I72-C72)</f>
        <v>0.26315789473684204</v>
      </c>
      <c r="K72" s="29" t="str">
        <f t="shared" ref="K72:K73" si="12">IF(I72&gt;C72,"é",IF(I72&lt;C72,"ê","è"))</f>
        <v>é</v>
      </c>
    </row>
    <row r="73" spans="2:11" x14ac:dyDescent="0.2">
      <c r="B73" t="s">
        <v>289</v>
      </c>
      <c r="C73" s="8">
        <v>0.44444444444444398</v>
      </c>
      <c r="D73" s="8">
        <v>0.33333333333333298</v>
      </c>
      <c r="E73" s="8">
        <v>0.6</v>
      </c>
      <c r="F73" s="8">
        <v>0.4</v>
      </c>
      <c r="G73" s="8">
        <f>(F73-E73)</f>
        <v>-0.19999999999999996</v>
      </c>
      <c r="H73" s="27" t="str">
        <f t="shared" si="11"/>
        <v>ê</v>
      </c>
      <c r="I73" s="8">
        <v>0.4</v>
      </c>
      <c r="J73" s="8">
        <f>(I73-C73)</f>
        <v>-4.4444444444443953E-2</v>
      </c>
      <c r="K73" s="27" t="str">
        <f t="shared" si="12"/>
        <v>ê</v>
      </c>
    </row>
    <row r="74" spans="2:11" ht="8.25" customHeight="1" x14ac:dyDescent="0.2"/>
    <row r="75" spans="2:11" ht="15" x14ac:dyDescent="0.25">
      <c r="B75" s="224" t="s">
        <v>236</v>
      </c>
      <c r="C75" s="224" t="s">
        <v>185</v>
      </c>
      <c r="D75" s="224">
        <v>2022</v>
      </c>
      <c r="E75" s="224">
        <v>2023</v>
      </c>
      <c r="F75" s="224">
        <v>2024</v>
      </c>
      <c r="G75" s="225" t="s">
        <v>237</v>
      </c>
      <c r="H75" s="225"/>
      <c r="I75" s="224" t="s">
        <v>187</v>
      </c>
      <c r="J75" s="224"/>
      <c r="K75" s="224"/>
    </row>
    <row r="76" spans="2:11" ht="60" customHeight="1" x14ac:dyDescent="0.25">
      <c r="B76" s="224"/>
      <c r="C76" s="224"/>
      <c r="D76" s="224"/>
      <c r="E76" s="224"/>
      <c r="F76" s="224"/>
      <c r="G76" s="225"/>
      <c r="H76" s="225"/>
      <c r="I76" s="18" t="s">
        <v>238</v>
      </c>
      <c r="J76" s="224" t="s">
        <v>239</v>
      </c>
      <c r="K76" s="224"/>
    </row>
    <row r="77" spans="2:11" ht="15" x14ac:dyDescent="0.25">
      <c r="B77" s="19" t="s">
        <v>255</v>
      </c>
      <c r="C77" s="19"/>
      <c r="D77" s="19"/>
      <c r="E77" s="19"/>
      <c r="F77" s="19"/>
      <c r="G77" s="19"/>
      <c r="H77" s="19"/>
      <c r="I77" s="19"/>
      <c r="J77" s="19"/>
      <c r="K77" s="19"/>
    </row>
    <row r="78" spans="2:11" x14ac:dyDescent="0.2">
      <c r="B78" s="4" t="s">
        <v>290</v>
      </c>
      <c r="C78" s="12">
        <v>0.68571428571428605</v>
      </c>
      <c r="D78" s="12">
        <v>0.70044052863436101</v>
      </c>
      <c r="E78" s="12">
        <v>0.69863013698630105</v>
      </c>
      <c r="F78" s="12">
        <v>0.65338645418326702</v>
      </c>
      <c r="G78" s="12">
        <f t="shared" ref="G78:G84" si="13">(F78-E78)/E78</f>
        <v>-6.4760565580813459E-2</v>
      </c>
      <c r="H78" s="28" t="str">
        <f>IF(F78&gt;E78,"é",IF(F78&lt;E78,"ê","è"))</f>
        <v>ê</v>
      </c>
      <c r="I78" s="12">
        <v>0.69111969111969096</v>
      </c>
      <c r="J78" s="12">
        <f t="shared" ref="J78:J84" si="14">(I78-C78)/C78</f>
        <v>7.8828828828821501E-3</v>
      </c>
      <c r="K78" s="29" t="str">
        <f>IF(I78&gt;C78,"é",IF(I78&lt;C78,"ê","è"))</f>
        <v>é</v>
      </c>
    </row>
    <row r="79" spans="2:11" x14ac:dyDescent="0.2">
      <c r="B79" t="s">
        <v>291</v>
      </c>
      <c r="C79" s="8">
        <v>0.60820895522388096</v>
      </c>
      <c r="D79" s="8">
        <v>0.60377358490566002</v>
      </c>
      <c r="E79" s="8">
        <v>0.77358490566037696</v>
      </c>
      <c r="F79" s="8">
        <v>0.75862068965517204</v>
      </c>
      <c r="G79" s="8">
        <f t="shared" si="13"/>
        <v>-1.934398654331369E-2</v>
      </c>
      <c r="H79" s="27" t="str">
        <f t="shared" ref="H79" si="15">IF(F79&gt;E79,"é",IF(F79&lt;E79,"ê","è"))</f>
        <v>ê</v>
      </c>
      <c r="I79" s="8">
        <v>0.68145161290322598</v>
      </c>
      <c r="J79" s="8">
        <f t="shared" si="14"/>
        <v>0.12042351078567148</v>
      </c>
      <c r="K79" s="26" t="str">
        <f>IF(I79&gt;C79,"é",IF(I79&lt;C79,"ê","è"))</f>
        <v>é</v>
      </c>
    </row>
    <row r="80" spans="2:11" x14ac:dyDescent="0.2">
      <c r="B80" s="4" t="s">
        <v>292</v>
      </c>
      <c r="C80" s="11">
        <v>12.4</v>
      </c>
      <c r="D80" s="11">
        <v>3</v>
      </c>
      <c r="E80" s="11">
        <v>6</v>
      </c>
      <c r="F80" s="11">
        <v>13</v>
      </c>
      <c r="G80" s="12">
        <f t="shared" si="13"/>
        <v>1.1666666666666667</v>
      </c>
      <c r="H80" s="29" t="str">
        <f>IF(F80&gt;E80,"é",IF(F80&lt;E80,"ê","è"))</f>
        <v>é</v>
      </c>
      <c r="I80" s="11">
        <v>7.6</v>
      </c>
      <c r="J80" s="12">
        <f t="shared" si="14"/>
        <v>-0.38709677419354843</v>
      </c>
      <c r="K80" s="28" t="str">
        <f t="shared" ref="K80:K81" si="16">IF(I80&gt;C80,"é",IF(I80&lt;C80,"ê","è"))</f>
        <v>ê</v>
      </c>
    </row>
    <row r="81" spans="2:11" x14ac:dyDescent="0.2">
      <c r="B81" t="s">
        <v>293</v>
      </c>
      <c r="C81" s="7">
        <v>31.4</v>
      </c>
      <c r="D81" s="7">
        <v>46</v>
      </c>
      <c r="E81" s="7">
        <v>47</v>
      </c>
      <c r="F81" s="7">
        <v>49</v>
      </c>
      <c r="G81" s="8">
        <f t="shared" si="13"/>
        <v>4.2553191489361701E-2</v>
      </c>
      <c r="H81" s="26" t="str">
        <f t="shared" ref="H81" si="17">IF(F81&gt;E81,"é",IF(F81&lt;E81,"ê","è"))</f>
        <v>é</v>
      </c>
      <c r="I81" s="7">
        <v>35.4</v>
      </c>
      <c r="J81" s="8">
        <f t="shared" si="14"/>
        <v>0.12738853503184713</v>
      </c>
      <c r="K81" s="26" t="str">
        <f t="shared" si="16"/>
        <v>é</v>
      </c>
    </row>
    <row r="82" spans="2:11" x14ac:dyDescent="0.2">
      <c r="B82" s="4" t="s">
        <v>294</v>
      </c>
      <c r="C82" s="11">
        <v>6</v>
      </c>
      <c r="D82" s="11">
        <v>11</v>
      </c>
      <c r="E82" s="11">
        <v>13</v>
      </c>
      <c r="F82" s="11">
        <v>12</v>
      </c>
      <c r="G82" s="12">
        <f t="shared" si="13"/>
        <v>-7.6923076923076927E-2</v>
      </c>
      <c r="H82" s="28" t="str">
        <f>IF(F82&gt;E82,"é",IF(F82&lt;E82,"ê","è"))</f>
        <v>ê</v>
      </c>
      <c r="I82" s="11">
        <v>10.8</v>
      </c>
      <c r="J82" s="12">
        <f t="shared" si="14"/>
        <v>0.80000000000000016</v>
      </c>
      <c r="K82" s="29" t="str">
        <f>IF(I82&gt;C82,"é",IF(I82&lt;C82,"ê","è"))</f>
        <v>é</v>
      </c>
    </row>
    <row r="83" spans="2:11" x14ac:dyDescent="0.2">
      <c r="B83" t="s">
        <v>295</v>
      </c>
      <c r="C83" s="7">
        <v>0.6</v>
      </c>
      <c r="D83" s="7">
        <v>0</v>
      </c>
      <c r="E83" s="7">
        <v>1</v>
      </c>
      <c r="F83" s="7">
        <v>1</v>
      </c>
      <c r="G83" s="8">
        <f t="shared" si="13"/>
        <v>0</v>
      </c>
      <c r="H83" s="219" t="str">
        <f t="shared" ref="H83" si="18">IF(F83&gt;E83,"é",IF(F83&lt;E83,"ê","è"))</f>
        <v>è</v>
      </c>
      <c r="I83" s="7">
        <v>0.4</v>
      </c>
      <c r="J83" s="8">
        <f t="shared" si="14"/>
        <v>-0.33333333333333326</v>
      </c>
      <c r="K83" s="27" t="str">
        <f>IF(I83&gt;C83,"é",IF(I83&lt;C83,"ê","è"))</f>
        <v>ê</v>
      </c>
    </row>
    <row r="84" spans="2:11" ht="27.95" customHeight="1" x14ac:dyDescent="0.2">
      <c r="B84" s="4" t="s">
        <v>296</v>
      </c>
      <c r="C84" s="11">
        <v>25.8</v>
      </c>
      <c r="D84" s="11">
        <v>26</v>
      </c>
      <c r="E84" s="11">
        <v>14</v>
      </c>
      <c r="F84" s="11">
        <v>30</v>
      </c>
      <c r="G84" s="12">
        <f t="shared" si="13"/>
        <v>1.1428571428571428</v>
      </c>
      <c r="H84" s="29" t="str">
        <f>IF(F84&gt;E84,"é",IF(F84&lt;E84,"ê","è"))</f>
        <v>é</v>
      </c>
      <c r="I84" s="11">
        <v>21.2</v>
      </c>
      <c r="J84" s="12">
        <f t="shared" si="14"/>
        <v>-0.17829457364341089</v>
      </c>
      <c r="K84" s="29" t="str">
        <f t="shared" ref="K84" si="19">IF(I84&gt;C84,"é",IF(I84&lt;C84,"ê","è"))</f>
        <v>ê</v>
      </c>
    </row>
    <row r="85" spans="2:11" ht="8.25" customHeight="1" x14ac:dyDescent="0.2"/>
    <row r="86" spans="2:11" ht="15" x14ac:dyDescent="0.25">
      <c r="B86" s="224" t="s">
        <v>236</v>
      </c>
      <c r="C86" s="224" t="s">
        <v>185</v>
      </c>
      <c r="D86" s="224">
        <v>2022</v>
      </c>
      <c r="E86" s="224">
        <v>2023</v>
      </c>
      <c r="F86" s="224">
        <v>2024</v>
      </c>
      <c r="G86" s="225" t="s">
        <v>252</v>
      </c>
      <c r="H86" s="225"/>
      <c r="I86" s="224" t="s">
        <v>187</v>
      </c>
      <c r="J86" s="224"/>
      <c r="K86" s="224"/>
    </row>
    <row r="87" spans="2:11" ht="60" customHeight="1" x14ac:dyDescent="0.25">
      <c r="B87" s="224"/>
      <c r="C87" s="224"/>
      <c r="D87" s="224"/>
      <c r="E87" s="224"/>
      <c r="F87" s="224"/>
      <c r="G87" s="225"/>
      <c r="H87" s="225"/>
      <c r="I87" s="18" t="s">
        <v>238</v>
      </c>
      <c r="J87" s="224" t="s">
        <v>253</v>
      </c>
      <c r="K87" s="224"/>
    </row>
    <row r="88" spans="2:11" ht="15" x14ac:dyDescent="0.25">
      <c r="B88" s="19" t="s">
        <v>256</v>
      </c>
      <c r="C88" s="19"/>
      <c r="D88" s="19"/>
      <c r="E88" s="19"/>
      <c r="F88" s="19"/>
      <c r="G88" s="19"/>
      <c r="H88" s="19"/>
      <c r="I88" s="19"/>
      <c r="J88" s="19"/>
      <c r="K88" s="19"/>
    </row>
    <row r="89" spans="2:11" x14ac:dyDescent="0.2">
      <c r="B89" s="4" t="s">
        <v>297</v>
      </c>
      <c r="C89" s="12">
        <v>0.493589743589744</v>
      </c>
      <c r="D89" s="12">
        <v>0.54621848739495804</v>
      </c>
      <c r="E89" s="12">
        <v>0.54310344827586199</v>
      </c>
      <c r="F89" s="12">
        <v>0.49624060150375898</v>
      </c>
      <c r="G89" s="12">
        <f>(F89-E89)</f>
        <v>-4.6862846772103006E-2</v>
      </c>
      <c r="H89" s="28" t="str">
        <f>IF(F89&gt;E89,"é",IF(F89&lt;E89,"ê","è"))</f>
        <v>ê</v>
      </c>
      <c r="I89" s="12">
        <v>0.52473498233215499</v>
      </c>
      <c r="J89" s="12">
        <f>(I89-C89)</f>
        <v>3.1145238742410986E-2</v>
      </c>
      <c r="K89" s="29" t="str">
        <f>IF(I89&gt;C89,"é",IF(I89&lt;C89,"ê","è"))</f>
        <v>é</v>
      </c>
    </row>
    <row r="90" spans="2:11" ht="8.25" customHeight="1" x14ac:dyDescent="0.2"/>
    <row r="91" spans="2:11" ht="15" x14ac:dyDescent="0.25">
      <c r="B91" s="224" t="s">
        <v>236</v>
      </c>
      <c r="C91" s="224" t="s">
        <v>185</v>
      </c>
      <c r="D91" s="224">
        <v>2022</v>
      </c>
      <c r="E91" s="224">
        <v>2023</v>
      </c>
      <c r="F91" s="224">
        <v>2024</v>
      </c>
      <c r="G91" s="225" t="s">
        <v>237</v>
      </c>
      <c r="H91" s="225"/>
      <c r="I91" s="224" t="s">
        <v>187</v>
      </c>
      <c r="J91" s="224"/>
      <c r="K91" s="224"/>
    </row>
    <row r="92" spans="2:11" ht="60" customHeight="1" x14ac:dyDescent="0.25">
      <c r="B92" s="224"/>
      <c r="C92" s="224"/>
      <c r="D92" s="224"/>
      <c r="E92" s="224"/>
      <c r="F92" s="224"/>
      <c r="G92" s="225"/>
      <c r="H92" s="225"/>
      <c r="I92" s="18" t="s">
        <v>238</v>
      </c>
      <c r="J92" s="224" t="s">
        <v>239</v>
      </c>
      <c r="K92" s="224"/>
    </row>
    <row r="93" spans="2:11" ht="15" x14ac:dyDescent="0.25">
      <c r="B93" s="19" t="s">
        <v>257</v>
      </c>
      <c r="C93" s="19"/>
      <c r="D93" s="19"/>
      <c r="E93" s="19"/>
      <c r="F93" s="19"/>
      <c r="G93" s="19"/>
      <c r="H93" s="19"/>
      <c r="I93" s="19"/>
      <c r="J93" s="19"/>
      <c r="K93" s="19"/>
    </row>
    <row r="94" spans="2:11" x14ac:dyDescent="0.2">
      <c r="B94" s="4" t="s">
        <v>298</v>
      </c>
      <c r="C94" s="11">
        <v>440.2</v>
      </c>
      <c r="D94" s="11">
        <v>499</v>
      </c>
      <c r="E94" s="11">
        <v>499</v>
      </c>
      <c r="F94" s="11">
        <v>555</v>
      </c>
      <c r="G94" s="12">
        <f>(F94-E94)/E94</f>
        <v>0.11222444889779559</v>
      </c>
      <c r="H94" s="29" t="str">
        <f>IF(F94&gt;E94,"é",IF(F94&lt;E94,"ê","è"))</f>
        <v>é</v>
      </c>
      <c r="I94" s="11">
        <v>475.8</v>
      </c>
      <c r="J94" s="12">
        <f>(I94-C94)/C94</f>
        <v>8.0872330758746072E-2</v>
      </c>
      <c r="K94" s="29" t="str">
        <f>IF(I94&gt;C94,"é",IF(I94&lt;C94,"ê","è"))</f>
        <v>é</v>
      </c>
    </row>
    <row r="95" spans="2:11" x14ac:dyDescent="0.2">
      <c r="B95" t="s">
        <v>299</v>
      </c>
      <c r="C95" s="7">
        <v>335.4</v>
      </c>
      <c r="D95" s="7">
        <v>396</v>
      </c>
      <c r="E95" s="7">
        <v>401</v>
      </c>
      <c r="F95" s="7">
        <v>402</v>
      </c>
      <c r="G95" s="8">
        <f>(F95-E95)/E95</f>
        <v>2.4937655860349127E-3</v>
      </c>
      <c r="H95" s="26" t="str">
        <f t="shared" ref="H95" si="20">IF(F95&gt;E95,"é",IF(F95&lt;E95,"ê","è"))</f>
        <v>é</v>
      </c>
      <c r="I95" s="7">
        <v>359</v>
      </c>
      <c r="J95" s="8">
        <f>(I95-C95)/C95</f>
        <v>7.036374478234951E-2</v>
      </c>
      <c r="K95" s="26" t="str">
        <f>IF(I95&gt;C95,"é",IF(I95&lt;C95,"ê","è"))</f>
        <v>é</v>
      </c>
    </row>
    <row r="96" spans="2:11" x14ac:dyDescent="0.2">
      <c r="B96" s="4" t="s">
        <v>300</v>
      </c>
      <c r="C96" s="11">
        <v>43.6</v>
      </c>
      <c r="D96" s="11">
        <v>70</v>
      </c>
      <c r="E96" s="11">
        <v>51</v>
      </c>
      <c r="F96" s="11">
        <v>51</v>
      </c>
      <c r="G96" s="12">
        <f>(F96-E96)/E96</f>
        <v>0</v>
      </c>
      <c r="H96" s="220" t="str">
        <f>IF(F96&gt;E96,"é",IF(F96&lt;E96,"ê","è"))</f>
        <v>è</v>
      </c>
      <c r="I96" s="11">
        <v>52.2</v>
      </c>
      <c r="J96" s="12">
        <f>(I96-C96)/C96</f>
        <v>0.19724770642201839</v>
      </c>
      <c r="K96" s="29" t="str">
        <f t="shared" ref="K96" si="21">IF(I96&gt;C96,"é",IF(I96&lt;C96,"ê","è"))</f>
        <v>é</v>
      </c>
    </row>
    <row r="99" spans="2:2" x14ac:dyDescent="0.2">
      <c r="B99" t="s">
        <v>302</v>
      </c>
    </row>
    <row r="100" spans="2:2" x14ac:dyDescent="0.2">
      <c r="B100" s="9" t="s">
        <v>303</v>
      </c>
    </row>
    <row r="101" spans="2:2" ht="48" x14ac:dyDescent="0.2">
      <c r="B101" s="22" t="s">
        <v>304</v>
      </c>
    </row>
    <row r="108" spans="2:2" x14ac:dyDescent="0.2">
      <c r="B108" s="1" t="str">
        <f>HYPERLINK("#'Contents'!A1", "Return to Contents Page")</f>
        <v>Return to Contents Page</v>
      </c>
    </row>
  </sheetData>
  <mergeCells count="104">
    <mergeCell ref="B91:B92"/>
    <mergeCell ref="C91:C92"/>
    <mergeCell ref="D91:D92"/>
    <mergeCell ref="E91:E92"/>
    <mergeCell ref="F91:F92"/>
    <mergeCell ref="G91:H92"/>
    <mergeCell ref="I91:K91"/>
    <mergeCell ref="J92:K92"/>
    <mergeCell ref="B75:B76"/>
    <mergeCell ref="C75:C76"/>
    <mergeCell ref="D75:D76"/>
    <mergeCell ref="E75:E76"/>
    <mergeCell ref="F75:F76"/>
    <mergeCell ref="G75:H76"/>
    <mergeCell ref="I75:K75"/>
    <mergeCell ref="J76:K76"/>
    <mergeCell ref="B86:B87"/>
    <mergeCell ref="C86:C87"/>
    <mergeCell ref="D86:D87"/>
    <mergeCell ref="E86:E87"/>
    <mergeCell ref="F86:F87"/>
    <mergeCell ref="G86:H87"/>
    <mergeCell ref="I86:K86"/>
    <mergeCell ref="J87:K87"/>
    <mergeCell ref="B59:B60"/>
    <mergeCell ref="C59:C60"/>
    <mergeCell ref="D59:D60"/>
    <mergeCell ref="E59:E60"/>
    <mergeCell ref="F59:F60"/>
    <mergeCell ref="G59:H60"/>
    <mergeCell ref="I59:K59"/>
    <mergeCell ref="J60:K60"/>
    <mergeCell ref="B67:B68"/>
    <mergeCell ref="C67:C68"/>
    <mergeCell ref="D67:D68"/>
    <mergeCell ref="E67:E68"/>
    <mergeCell ref="F67:F68"/>
    <mergeCell ref="G67:H68"/>
    <mergeCell ref="I67:K67"/>
    <mergeCell ref="J68:K68"/>
    <mergeCell ref="B45:B46"/>
    <mergeCell ref="C45:C46"/>
    <mergeCell ref="D45:D46"/>
    <mergeCell ref="E45:E46"/>
    <mergeCell ref="F45:F46"/>
    <mergeCell ref="G45:H46"/>
    <mergeCell ref="I45:K45"/>
    <mergeCell ref="J46:K46"/>
    <mergeCell ref="B50:B51"/>
    <mergeCell ref="C50:C51"/>
    <mergeCell ref="D50:D51"/>
    <mergeCell ref="E50:E51"/>
    <mergeCell ref="F50:F51"/>
    <mergeCell ref="G50:H51"/>
    <mergeCell ref="I50:K50"/>
    <mergeCell ref="J51:K51"/>
    <mergeCell ref="B31:B32"/>
    <mergeCell ref="C31:C32"/>
    <mergeCell ref="D31:D32"/>
    <mergeCell ref="E31:E32"/>
    <mergeCell ref="F31:F32"/>
    <mergeCell ref="G31:H32"/>
    <mergeCell ref="I31:K31"/>
    <mergeCell ref="J32:K32"/>
    <mergeCell ref="B37:B38"/>
    <mergeCell ref="C37:C38"/>
    <mergeCell ref="D37:D38"/>
    <mergeCell ref="E37:E38"/>
    <mergeCell ref="F37:F38"/>
    <mergeCell ref="G37:H38"/>
    <mergeCell ref="I37:K37"/>
    <mergeCell ref="J38:K38"/>
    <mergeCell ref="B19:B20"/>
    <mergeCell ref="C19:C20"/>
    <mergeCell ref="D19:D20"/>
    <mergeCell ref="E19:E20"/>
    <mergeCell ref="F19:F20"/>
    <mergeCell ref="G19:H20"/>
    <mergeCell ref="I19:K19"/>
    <mergeCell ref="J20:K20"/>
    <mergeCell ref="B25:B26"/>
    <mergeCell ref="C25:C26"/>
    <mergeCell ref="D25:D26"/>
    <mergeCell ref="E25:E26"/>
    <mergeCell ref="F25:F26"/>
    <mergeCell ref="G25:H26"/>
    <mergeCell ref="I25:K25"/>
    <mergeCell ref="J26:K26"/>
    <mergeCell ref="B4:B5"/>
    <mergeCell ref="C4:C5"/>
    <mergeCell ref="D4:D5"/>
    <mergeCell ref="E4:E5"/>
    <mergeCell ref="F4:F5"/>
    <mergeCell ref="G4:H5"/>
    <mergeCell ref="I4:K4"/>
    <mergeCell ref="J5:K5"/>
    <mergeCell ref="B13:B14"/>
    <mergeCell ref="C13:C14"/>
    <mergeCell ref="D13:D14"/>
    <mergeCell ref="E13:E14"/>
    <mergeCell ref="F13:F14"/>
    <mergeCell ref="G13:H14"/>
    <mergeCell ref="I13:K13"/>
    <mergeCell ref="J14:K14"/>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71"/>
  <sheetViews>
    <sheetView showGridLines="0" workbookViewId="0"/>
  </sheetViews>
  <sheetFormatPr defaultColWidth="11" defaultRowHeight="14.25" x14ac:dyDescent="0.2"/>
  <cols>
    <col min="2" max="2" width="12.75" customWidth="1"/>
    <col min="4" max="6" width="0.75" hidden="1" customWidth="1"/>
    <col min="7" max="7" width="13.5" customWidth="1"/>
    <col min="9" max="11" width="12.75" customWidth="1"/>
  </cols>
  <sheetData>
    <row r="1" spans="2:12" ht="15" x14ac:dyDescent="0.25">
      <c r="B1" s="6" t="s">
        <v>305</v>
      </c>
    </row>
    <row r="3" spans="2:12" x14ac:dyDescent="0.2">
      <c r="B3" t="s">
        <v>17</v>
      </c>
    </row>
    <row r="4" spans="2:12" ht="15" x14ac:dyDescent="0.25">
      <c r="B4" s="6" t="s">
        <v>18</v>
      </c>
      <c r="L4" s="6" t="s">
        <v>312</v>
      </c>
    </row>
    <row r="5" spans="2:12" x14ac:dyDescent="0.2">
      <c r="B5" t="s">
        <v>196</v>
      </c>
    </row>
    <row r="7" spans="2:12" ht="45" customHeight="1" thickBot="1" x14ac:dyDescent="0.3">
      <c r="B7" s="110" t="s">
        <v>197</v>
      </c>
      <c r="C7" s="111" t="s">
        <v>198</v>
      </c>
      <c r="D7" s="111" t="s">
        <v>306</v>
      </c>
      <c r="E7" s="111" t="s">
        <v>307</v>
      </c>
      <c r="F7" s="111" t="s">
        <v>308</v>
      </c>
      <c r="G7" s="111" t="s">
        <v>309</v>
      </c>
      <c r="H7" s="111" t="s">
        <v>310</v>
      </c>
      <c r="I7" s="111" t="s">
        <v>199</v>
      </c>
      <c r="J7" s="111" t="s">
        <v>311</v>
      </c>
    </row>
    <row r="8" spans="2:12" ht="15" thickTop="1" x14ac:dyDescent="0.2">
      <c r="B8" s="112">
        <v>2014</v>
      </c>
      <c r="C8" s="113">
        <v>79</v>
      </c>
      <c r="D8" s="113">
        <v>5654</v>
      </c>
      <c r="E8" s="113">
        <v>9097.2860000000001</v>
      </c>
      <c r="F8" s="113">
        <v>1843186</v>
      </c>
      <c r="G8" s="127">
        <v>167.67990193195999</v>
      </c>
      <c r="H8" s="127">
        <v>0.47113577172806398</v>
      </c>
      <c r="I8" s="118"/>
      <c r="J8" s="118"/>
    </row>
    <row r="9" spans="2:12" x14ac:dyDescent="0.2">
      <c r="B9" s="114">
        <v>2015</v>
      </c>
      <c r="C9" s="115">
        <v>74</v>
      </c>
      <c r="D9" s="115">
        <v>5510</v>
      </c>
      <c r="E9" s="115">
        <v>8865.59</v>
      </c>
      <c r="F9" s="115">
        <v>1854943</v>
      </c>
      <c r="G9" s="128">
        <v>164.45164111369999</v>
      </c>
      <c r="H9" s="128">
        <v>0.44998030727365801</v>
      </c>
      <c r="I9" s="119"/>
      <c r="J9" s="119">
        <v>-4.4903116519491901E-2</v>
      </c>
    </row>
    <row r="10" spans="2:12" x14ac:dyDescent="0.2">
      <c r="B10" s="116">
        <v>2016</v>
      </c>
      <c r="C10" s="117">
        <v>68</v>
      </c>
      <c r="D10" s="117">
        <v>5377</v>
      </c>
      <c r="E10" s="117">
        <v>8651.5930000000008</v>
      </c>
      <c r="F10" s="117">
        <v>1866042</v>
      </c>
      <c r="G10" s="129">
        <v>161.44235904906</v>
      </c>
      <c r="H10" s="129">
        <v>0.42120296309183503</v>
      </c>
      <c r="I10" s="120"/>
      <c r="J10" s="120">
        <v>-6.3952452399926002E-2</v>
      </c>
    </row>
    <row r="11" spans="2:12" x14ac:dyDescent="0.2">
      <c r="B11" s="114">
        <v>2017</v>
      </c>
      <c r="C11" s="115">
        <v>63</v>
      </c>
      <c r="D11" s="115">
        <v>5337</v>
      </c>
      <c r="E11" s="115">
        <v>8587.2330000000002</v>
      </c>
      <c r="F11" s="115">
        <v>1875178</v>
      </c>
      <c r="G11" s="128">
        <v>161.02590402473999</v>
      </c>
      <c r="H11" s="128">
        <v>0.39124139921189699</v>
      </c>
      <c r="I11" s="119"/>
      <c r="J11" s="119">
        <v>-7.1133316964356097E-2</v>
      </c>
    </row>
    <row r="12" spans="2:12" x14ac:dyDescent="0.2">
      <c r="B12" s="116">
        <v>2018</v>
      </c>
      <c r="C12" s="117">
        <v>55</v>
      </c>
      <c r="D12" s="117">
        <v>5559</v>
      </c>
      <c r="E12" s="117">
        <v>8944.4310000000005</v>
      </c>
      <c r="F12" s="117">
        <v>1886259</v>
      </c>
      <c r="G12" s="129">
        <v>168.71513473629</v>
      </c>
      <c r="H12" s="129">
        <v>0.32599327906158299</v>
      </c>
      <c r="I12" s="120"/>
      <c r="J12" s="120">
        <v>-0.166772024335226</v>
      </c>
    </row>
    <row r="13" spans="2:12" x14ac:dyDescent="0.2">
      <c r="B13" s="114">
        <v>2019</v>
      </c>
      <c r="C13" s="115">
        <v>56</v>
      </c>
      <c r="D13" s="115">
        <v>5798</v>
      </c>
      <c r="E13" s="115">
        <v>9328.982</v>
      </c>
      <c r="F13" s="115">
        <v>1898519</v>
      </c>
      <c r="G13" s="128">
        <v>177.11249577658</v>
      </c>
      <c r="H13" s="128">
        <v>0.316183224421622</v>
      </c>
      <c r="I13" s="119">
        <v>-0.23139545601436701</v>
      </c>
      <c r="J13" s="119">
        <v>-3.0092812551843401E-2</v>
      </c>
    </row>
    <row r="14" spans="2:12" x14ac:dyDescent="0.2">
      <c r="B14" s="116">
        <v>2020</v>
      </c>
      <c r="C14" s="117">
        <v>56</v>
      </c>
      <c r="D14" s="117">
        <v>5798</v>
      </c>
      <c r="E14" s="117">
        <v>9328.982</v>
      </c>
      <c r="F14" s="117">
        <v>1900523</v>
      </c>
      <c r="G14" s="129">
        <v>177.29944857586</v>
      </c>
      <c r="H14" s="129">
        <v>0.31584982609824402</v>
      </c>
      <c r="I14" s="120">
        <v>-0.23220590845621999</v>
      </c>
      <c r="J14" s="120">
        <v>-1.0544465918066301E-3</v>
      </c>
    </row>
    <row r="15" spans="2:12" x14ac:dyDescent="0.2">
      <c r="B15" s="114">
        <v>2021</v>
      </c>
      <c r="C15" s="115">
        <v>50</v>
      </c>
      <c r="D15" s="115">
        <v>5798</v>
      </c>
      <c r="E15" s="115">
        <v>9328.982</v>
      </c>
      <c r="F15" s="115">
        <v>1904564</v>
      </c>
      <c r="G15" s="128">
        <v>177.67643273848</v>
      </c>
      <c r="H15" s="128">
        <v>0.28141042247057302</v>
      </c>
      <c r="I15" s="119">
        <v>-0.315924082210707</v>
      </c>
      <c r="J15" s="119">
        <v>-0.109037272722636</v>
      </c>
    </row>
    <row r="16" spans="2:12" x14ac:dyDescent="0.2">
      <c r="B16" s="116">
        <v>2022</v>
      </c>
      <c r="C16" s="117">
        <v>55</v>
      </c>
      <c r="D16" s="117">
        <v>5798</v>
      </c>
      <c r="E16" s="117">
        <v>9328.982</v>
      </c>
      <c r="F16" s="117">
        <v>1910543</v>
      </c>
      <c r="G16" s="129">
        <v>178.23421257225999</v>
      </c>
      <c r="H16" s="129">
        <v>0.308582730589402</v>
      </c>
      <c r="I16" s="120">
        <v>-0.24987137011975599</v>
      </c>
      <c r="J16" s="120">
        <v>9.6557575516489205E-2</v>
      </c>
    </row>
    <row r="17" spans="2:16" x14ac:dyDescent="0.2">
      <c r="B17" s="114">
        <v>2023</v>
      </c>
      <c r="C17" s="115">
        <v>71</v>
      </c>
      <c r="D17" s="115">
        <v>5798</v>
      </c>
      <c r="E17" s="115">
        <v>9328.982</v>
      </c>
      <c r="F17" s="115">
        <v>1920382</v>
      </c>
      <c r="G17" s="128">
        <v>179.15209111124</v>
      </c>
      <c r="H17" s="128">
        <v>0.39631131046030799</v>
      </c>
      <c r="I17" s="119">
        <v>-3.6613423720075401E-2</v>
      </c>
      <c r="J17" s="119">
        <v>0.28429517006133498</v>
      </c>
    </row>
    <row r="18" spans="2:16" x14ac:dyDescent="0.2">
      <c r="B18" s="116">
        <v>2024</v>
      </c>
      <c r="C18" s="117">
        <v>69</v>
      </c>
      <c r="D18" s="117">
        <v>5798</v>
      </c>
      <c r="E18" s="117">
        <v>9328.982</v>
      </c>
      <c r="F18" s="117">
        <v>1920382</v>
      </c>
      <c r="G18" s="129">
        <v>179.15209111124</v>
      </c>
      <c r="H18" s="129">
        <v>0.38514761157410199</v>
      </c>
      <c r="I18" s="120">
        <v>-6.3751073756129498E-2</v>
      </c>
      <c r="J18" s="120">
        <v>-2.8169014084507001E-2</v>
      </c>
    </row>
    <row r="19" spans="2:16" ht="30" customHeight="1" x14ac:dyDescent="0.25">
      <c r="B19" s="121" t="s">
        <v>202</v>
      </c>
      <c r="C19" s="122">
        <v>67.8</v>
      </c>
      <c r="D19" s="122">
        <v>5492</v>
      </c>
      <c r="E19" s="122">
        <v>8836.6280000000006</v>
      </c>
      <c r="F19" s="122">
        <v>1865122</v>
      </c>
      <c r="G19" s="130">
        <v>164.81389288616</v>
      </c>
      <c r="H19" s="130">
        <v>0.411373087624541</v>
      </c>
      <c r="I19" s="131"/>
      <c r="J19" s="24"/>
    </row>
    <row r="21" spans="2:16" x14ac:dyDescent="0.2">
      <c r="B21" s="9" t="s">
        <v>313</v>
      </c>
    </row>
    <row r="22" spans="2:16" x14ac:dyDescent="0.2">
      <c r="B22" s="9" t="s">
        <v>314</v>
      </c>
    </row>
    <row r="24" spans="2:16" x14ac:dyDescent="0.2">
      <c r="B24" s="1" t="str">
        <f>HYPERLINK("#'Contents'!A1", "Return to Contents Page")</f>
        <v>Return to Contents Page</v>
      </c>
    </row>
    <row r="28" spans="2:16" x14ac:dyDescent="0.2">
      <c r="B28" t="s">
        <v>19</v>
      </c>
    </row>
    <row r="29" spans="2:16" ht="30" customHeight="1" x14ac:dyDescent="0.25">
      <c r="B29" s="222" t="s">
        <v>315</v>
      </c>
      <c r="C29" s="223"/>
      <c r="D29" s="223"/>
      <c r="E29" s="223"/>
      <c r="F29" s="223"/>
      <c r="G29" s="223"/>
      <c r="H29" s="223"/>
      <c r="I29" s="223"/>
      <c r="L29" s="222" t="s">
        <v>316</v>
      </c>
      <c r="M29" s="223"/>
      <c r="N29" s="223"/>
      <c r="O29" s="223"/>
      <c r="P29" s="223"/>
    </row>
    <row r="30" spans="2:16" x14ac:dyDescent="0.2">
      <c r="B30" t="s">
        <v>196</v>
      </c>
    </row>
    <row r="32" spans="2:16" ht="45" customHeight="1" thickBot="1" x14ac:dyDescent="0.3">
      <c r="B32" s="110" t="s">
        <v>197</v>
      </c>
      <c r="C32" s="111" t="s">
        <v>198</v>
      </c>
      <c r="D32" s="111" t="s">
        <v>306</v>
      </c>
      <c r="E32" s="111" t="s">
        <v>307</v>
      </c>
      <c r="F32" s="111" t="s">
        <v>308</v>
      </c>
      <c r="G32" s="111" t="s">
        <v>309</v>
      </c>
      <c r="H32" s="111" t="s">
        <v>310</v>
      </c>
      <c r="I32" s="111" t="s">
        <v>199</v>
      </c>
      <c r="J32" s="111" t="s">
        <v>311</v>
      </c>
    </row>
    <row r="33" spans="2:10" ht="15" thickTop="1" x14ac:dyDescent="0.2">
      <c r="B33" s="124" t="s">
        <v>207</v>
      </c>
      <c r="C33" s="113">
        <v>67.8</v>
      </c>
      <c r="D33" s="113">
        <v>5492</v>
      </c>
      <c r="E33" s="113">
        <v>8836.6280000000006</v>
      </c>
      <c r="F33" s="113">
        <v>1865122</v>
      </c>
      <c r="G33" s="127">
        <v>164.81389288616</v>
      </c>
      <c r="H33" s="127">
        <v>0.411373087624541</v>
      </c>
      <c r="I33" s="118"/>
      <c r="J33" s="118"/>
    </row>
    <row r="34" spans="2:10" x14ac:dyDescent="0.2">
      <c r="B34" s="125" t="s">
        <v>208</v>
      </c>
      <c r="C34" s="115">
        <v>63.2</v>
      </c>
      <c r="D34" s="115">
        <v>5593</v>
      </c>
      <c r="E34" s="115">
        <v>8999.1370000000006</v>
      </c>
      <c r="F34" s="115">
        <v>1876188</v>
      </c>
      <c r="G34" s="128">
        <v>168.84072849756001</v>
      </c>
      <c r="H34" s="128">
        <v>0.37431726670685</v>
      </c>
      <c r="I34" s="119">
        <v>-9.0078379049219004E-2</v>
      </c>
      <c r="J34" s="119">
        <v>-9.0078379049219004E-2</v>
      </c>
    </row>
    <row r="35" spans="2:10" x14ac:dyDescent="0.2">
      <c r="B35" s="126" t="s">
        <v>209</v>
      </c>
      <c r="C35" s="117">
        <v>59.6</v>
      </c>
      <c r="D35" s="117">
        <v>5593</v>
      </c>
      <c r="E35" s="117">
        <v>8999.1370000000006</v>
      </c>
      <c r="F35" s="117">
        <v>1885304</v>
      </c>
      <c r="G35" s="129">
        <v>169.66108982648001</v>
      </c>
      <c r="H35" s="129">
        <v>0.35128856039387502</v>
      </c>
      <c r="I35" s="120">
        <v>-0.14605847839396199</v>
      </c>
      <c r="J35" s="120">
        <v>-6.1521891617707498E-2</v>
      </c>
    </row>
    <row r="36" spans="2:10" x14ac:dyDescent="0.2">
      <c r="B36" s="125" t="s">
        <v>210</v>
      </c>
      <c r="C36" s="115">
        <v>56</v>
      </c>
      <c r="D36" s="115">
        <v>5593</v>
      </c>
      <c r="E36" s="115">
        <v>8999.1370000000006</v>
      </c>
      <c r="F36" s="115">
        <v>1893008</v>
      </c>
      <c r="G36" s="128">
        <v>170.35438334096</v>
      </c>
      <c r="H36" s="128">
        <v>0.32872649885337801</v>
      </c>
      <c r="I36" s="119">
        <v>-0.20090421871883399</v>
      </c>
      <c r="J36" s="119">
        <v>-6.4226576337126903E-2</v>
      </c>
    </row>
    <row r="37" spans="2:10" x14ac:dyDescent="0.2">
      <c r="B37" s="126" t="s">
        <v>211</v>
      </c>
      <c r="C37" s="117">
        <v>54.4</v>
      </c>
      <c r="D37" s="117">
        <v>5593</v>
      </c>
      <c r="E37" s="117">
        <v>8999.1370000000006</v>
      </c>
      <c r="F37" s="117">
        <v>1900081</v>
      </c>
      <c r="G37" s="129">
        <v>170.99089230096999</v>
      </c>
      <c r="H37" s="129">
        <v>0.31814559985012397</v>
      </c>
      <c r="I37" s="120">
        <v>-0.22662515020794399</v>
      </c>
      <c r="J37" s="120">
        <v>-3.2187545087363698E-2</v>
      </c>
    </row>
    <row r="38" spans="2:10" x14ac:dyDescent="0.2">
      <c r="B38" s="125" t="s">
        <v>212</v>
      </c>
      <c r="C38" s="115">
        <v>57.6</v>
      </c>
      <c r="D38" s="115">
        <v>5593</v>
      </c>
      <c r="E38" s="115">
        <v>8999.1370000000006</v>
      </c>
      <c r="F38" s="115">
        <v>1904938</v>
      </c>
      <c r="G38" s="128">
        <v>171.42798038506001</v>
      </c>
      <c r="H38" s="128">
        <v>0.33600115844927603</v>
      </c>
      <c r="I38" s="119">
        <v>-0.18322036964181801</v>
      </c>
      <c r="J38" s="119">
        <v>5.6123858408113798E-2</v>
      </c>
    </row>
    <row r="39" spans="2:10" x14ac:dyDescent="0.2">
      <c r="B39" s="126" t="s">
        <v>213</v>
      </c>
      <c r="C39" s="117">
        <v>60.2</v>
      </c>
      <c r="D39" s="117">
        <v>5593</v>
      </c>
      <c r="E39" s="117">
        <v>8999.1370000000006</v>
      </c>
      <c r="F39" s="117">
        <v>1911279</v>
      </c>
      <c r="G39" s="129">
        <v>171.99861566223001</v>
      </c>
      <c r="H39" s="129">
        <v>0.35000281698906499</v>
      </c>
      <c r="I39" s="120">
        <v>-0.149183970662389</v>
      </c>
      <c r="J39" s="120">
        <v>4.1671459123562099E-2</v>
      </c>
    </row>
    <row r="40" spans="2:10" ht="30" x14ac:dyDescent="0.25">
      <c r="B40" s="121" t="s">
        <v>222</v>
      </c>
      <c r="C40" s="122">
        <v>67.8</v>
      </c>
      <c r="D40" s="122">
        <v>5492</v>
      </c>
      <c r="E40" s="122">
        <v>8836.6280000000006</v>
      </c>
      <c r="F40" s="122">
        <v>1865122</v>
      </c>
      <c r="G40" s="130">
        <v>164.81389288616</v>
      </c>
      <c r="H40" s="130">
        <v>0.411373087624541</v>
      </c>
      <c r="I40" s="131"/>
      <c r="J40" s="24"/>
    </row>
    <row r="41" spans="2:10" x14ac:dyDescent="0.2">
      <c r="C41" s="7"/>
      <c r="D41" s="7"/>
      <c r="E41" s="7"/>
      <c r="F41" s="7"/>
      <c r="G41" s="21"/>
      <c r="H41" s="21"/>
      <c r="I41" s="8"/>
      <c r="J41" s="8"/>
    </row>
    <row r="42" spans="2:10" x14ac:dyDescent="0.2">
      <c r="B42" s="9" t="s">
        <v>313</v>
      </c>
      <c r="C42" s="7"/>
      <c r="D42" s="7"/>
      <c r="E42" s="7"/>
      <c r="F42" s="7"/>
      <c r="G42" s="21"/>
      <c r="H42" s="21"/>
      <c r="I42" s="8"/>
      <c r="J42" s="8"/>
    </row>
    <row r="43" spans="2:10" x14ac:dyDescent="0.2">
      <c r="B43" s="9" t="s">
        <v>314</v>
      </c>
      <c r="C43" s="7"/>
      <c r="D43" s="7"/>
      <c r="E43" s="7"/>
      <c r="F43" s="7"/>
      <c r="G43" s="21"/>
      <c r="H43" s="21"/>
      <c r="I43" s="8"/>
      <c r="J43" s="8"/>
    </row>
    <row r="44" spans="2:10" x14ac:dyDescent="0.2">
      <c r="C44" s="7"/>
      <c r="D44" s="7"/>
      <c r="E44" s="7"/>
      <c r="F44" s="7"/>
      <c r="G44" s="21"/>
      <c r="H44" s="21"/>
      <c r="I44" s="8"/>
      <c r="J44" s="8"/>
    </row>
    <row r="45" spans="2:10" x14ac:dyDescent="0.2">
      <c r="C45" s="7"/>
      <c r="D45" s="7"/>
      <c r="E45" s="7"/>
      <c r="F45" s="7"/>
      <c r="G45" s="21"/>
      <c r="H45" s="21"/>
      <c r="I45" s="8"/>
      <c r="J45" s="8"/>
    </row>
    <row r="46" spans="2:10" x14ac:dyDescent="0.2">
      <c r="B46" s="1" t="str">
        <f>HYPERLINK("#'Contents'!A1", "Return to Contents Page")</f>
        <v>Return to Contents Page</v>
      </c>
      <c r="C46" s="7"/>
      <c r="D46" s="7"/>
      <c r="E46" s="7"/>
      <c r="F46" s="7"/>
      <c r="G46" s="21"/>
      <c r="H46" s="21"/>
      <c r="I46" s="8"/>
      <c r="J46" s="8"/>
    </row>
    <row r="47" spans="2:10" x14ac:dyDescent="0.2">
      <c r="C47" s="7"/>
      <c r="D47" s="7"/>
      <c r="E47" s="7"/>
      <c r="F47" s="7"/>
      <c r="G47" s="21"/>
      <c r="H47" s="21"/>
      <c r="I47" s="8"/>
      <c r="J47" s="8"/>
    </row>
    <row r="48" spans="2:10" x14ac:dyDescent="0.2">
      <c r="C48" s="7"/>
      <c r="D48" s="7"/>
      <c r="E48" s="7"/>
      <c r="F48" s="7"/>
      <c r="G48" s="21"/>
      <c r="H48" s="21"/>
      <c r="I48" s="8"/>
      <c r="J48" s="8"/>
    </row>
    <row r="49" spans="2:16" x14ac:dyDescent="0.2">
      <c r="B49" t="s">
        <v>21</v>
      </c>
      <c r="C49" s="7"/>
      <c r="D49" s="7"/>
      <c r="E49" s="7"/>
      <c r="F49" s="7"/>
      <c r="G49" s="21"/>
      <c r="H49" s="21"/>
      <c r="I49" s="8"/>
      <c r="J49" s="8"/>
    </row>
    <row r="50" spans="2:16" ht="30" customHeight="1" x14ac:dyDescent="0.25">
      <c r="B50" s="222" t="s">
        <v>317</v>
      </c>
      <c r="C50" s="227"/>
      <c r="D50" s="227"/>
      <c r="E50" s="227"/>
      <c r="F50" s="227"/>
      <c r="G50" s="228"/>
      <c r="H50" s="228"/>
      <c r="I50" s="229"/>
      <c r="J50" s="8"/>
      <c r="L50" s="222" t="s">
        <v>324</v>
      </c>
      <c r="M50" s="223"/>
      <c r="N50" s="223"/>
      <c r="O50" s="223"/>
      <c r="P50" s="223"/>
    </row>
    <row r="51" spans="2:16" x14ac:dyDescent="0.2">
      <c r="B51" s="13" t="s">
        <v>196</v>
      </c>
      <c r="C51" s="7"/>
      <c r="D51" s="7"/>
      <c r="E51" s="7"/>
      <c r="F51" s="7"/>
      <c r="G51" s="21"/>
      <c r="H51" s="21"/>
      <c r="I51" s="8"/>
      <c r="J51" s="8"/>
    </row>
    <row r="52" spans="2:16" x14ac:dyDescent="0.2">
      <c r="B52" s="13"/>
      <c r="G52" s="21"/>
      <c r="H52" s="21"/>
      <c r="I52" s="8"/>
      <c r="J52" s="8"/>
    </row>
    <row r="53" spans="2:16" ht="45" customHeight="1" thickBot="1" x14ac:dyDescent="0.3">
      <c r="B53" s="110" t="s">
        <v>197</v>
      </c>
      <c r="C53" s="111" t="s">
        <v>318</v>
      </c>
      <c r="D53" s="111" t="s">
        <v>319</v>
      </c>
      <c r="E53" s="111" t="s">
        <v>320</v>
      </c>
      <c r="F53" s="111" t="s">
        <v>321</v>
      </c>
      <c r="G53" s="111" t="s">
        <v>322</v>
      </c>
      <c r="H53" s="111" t="s">
        <v>323</v>
      </c>
      <c r="I53" s="8"/>
      <c r="J53" s="8"/>
    </row>
    <row r="54" spans="2:16" ht="15" thickTop="1" x14ac:dyDescent="0.2">
      <c r="B54" s="112">
        <v>2014</v>
      </c>
      <c r="C54" s="127">
        <v>0.48415151823890801</v>
      </c>
      <c r="D54" s="127">
        <v>1.30157465108444E-2</v>
      </c>
      <c r="E54" s="127">
        <v>1.23342468657707E-2</v>
      </c>
      <c r="F54" s="127">
        <v>79</v>
      </c>
      <c r="G54" s="127">
        <v>0.47113577172806398</v>
      </c>
      <c r="H54" s="127">
        <v>0.45880152486229298</v>
      </c>
    </row>
    <row r="55" spans="2:16" x14ac:dyDescent="0.2">
      <c r="B55" s="114">
        <v>2015</v>
      </c>
      <c r="C55" s="128">
        <v>0.46240050225249002</v>
      </c>
      <c r="D55" s="128">
        <v>1.24201949788328E-2</v>
      </c>
      <c r="E55" s="128">
        <v>1.17704286808945E-2</v>
      </c>
      <c r="F55" s="128">
        <v>74</v>
      </c>
      <c r="G55" s="128">
        <v>0.44998030727365801</v>
      </c>
      <c r="H55" s="128">
        <v>0.438209878592763</v>
      </c>
    </row>
    <row r="56" spans="2:16" x14ac:dyDescent="0.2">
      <c r="B56" s="116">
        <v>2016</v>
      </c>
      <c r="C56" s="129">
        <v>0.43295896244404503</v>
      </c>
      <c r="D56" s="129">
        <v>1.17559993522096E-2</v>
      </c>
      <c r="E56" s="129">
        <v>1.1134461816296799E-2</v>
      </c>
      <c r="F56" s="129">
        <v>68</v>
      </c>
      <c r="G56" s="129">
        <v>0.42120296309183503</v>
      </c>
      <c r="H56" s="129">
        <v>0.41006850127553801</v>
      </c>
    </row>
    <row r="57" spans="2:16" x14ac:dyDescent="0.2">
      <c r="B57" s="114">
        <v>2017</v>
      </c>
      <c r="C57" s="128">
        <v>0.40209038081915999</v>
      </c>
      <c r="D57" s="128">
        <v>1.0848981607262401E-2</v>
      </c>
      <c r="E57" s="128">
        <v>1.02789201763388E-2</v>
      </c>
      <c r="F57" s="128">
        <v>63</v>
      </c>
      <c r="G57" s="128">
        <v>0.39124139921189699</v>
      </c>
      <c r="H57" s="128">
        <v>0.38096247903555902</v>
      </c>
    </row>
    <row r="58" spans="2:16" x14ac:dyDescent="0.2">
      <c r="B58" s="116">
        <v>2018</v>
      </c>
      <c r="C58" s="129">
        <v>0.33546772275145198</v>
      </c>
      <c r="D58" s="129">
        <v>9.4744436898683802E-3</v>
      </c>
      <c r="E58" s="129">
        <v>8.9539791484724001E-3</v>
      </c>
      <c r="F58" s="129">
        <v>55</v>
      </c>
      <c r="G58" s="129">
        <v>0.32599327906158299</v>
      </c>
      <c r="H58" s="129">
        <v>0.31703929991311097</v>
      </c>
    </row>
    <row r="59" spans="2:16" x14ac:dyDescent="0.2">
      <c r="B59" s="114">
        <v>2019</v>
      </c>
      <c r="C59" s="128">
        <v>0.32509848114853102</v>
      </c>
      <c r="D59" s="128">
        <v>8.9152567269086304E-3</v>
      </c>
      <c r="E59" s="128">
        <v>8.4393373649551701E-3</v>
      </c>
      <c r="F59" s="128">
        <v>56</v>
      </c>
      <c r="G59" s="128">
        <v>0.316183224421622</v>
      </c>
      <c r="H59" s="128">
        <v>0.307743887056667</v>
      </c>
    </row>
    <row r="60" spans="2:16" x14ac:dyDescent="0.2">
      <c r="B60" s="116">
        <v>2020</v>
      </c>
      <c r="C60" s="129">
        <v>0.32475568216308198</v>
      </c>
      <c r="D60" s="129">
        <v>8.9058560648379009E-3</v>
      </c>
      <c r="E60" s="129">
        <v>8.4304385344335896E-3</v>
      </c>
      <c r="F60" s="129">
        <v>56</v>
      </c>
      <c r="G60" s="129">
        <v>0.31584982609824402</v>
      </c>
      <c r="H60" s="129">
        <v>0.30741938756381099</v>
      </c>
    </row>
    <row r="61" spans="2:16" x14ac:dyDescent="0.2">
      <c r="B61" s="114">
        <v>2021</v>
      </c>
      <c r="C61" s="128">
        <v>0.28934520827884103</v>
      </c>
      <c r="D61" s="128">
        <v>7.9347858082676193E-3</v>
      </c>
      <c r="E61" s="128">
        <v>7.5112065087831201E-3</v>
      </c>
      <c r="F61" s="128">
        <v>50</v>
      </c>
      <c r="G61" s="128">
        <v>0.28141042247057302</v>
      </c>
      <c r="H61" s="128">
        <v>0.27389921596179001</v>
      </c>
    </row>
    <row r="62" spans="2:16" x14ac:dyDescent="0.2">
      <c r="B62" s="116">
        <v>2022</v>
      </c>
      <c r="C62" s="129">
        <v>0.31728368007755903</v>
      </c>
      <c r="D62" s="129">
        <v>8.7009494881566396E-3</v>
      </c>
      <c r="E62" s="129">
        <v>8.23647039847486E-3</v>
      </c>
      <c r="F62" s="129">
        <v>55</v>
      </c>
      <c r="G62" s="129">
        <v>0.308582730589402</v>
      </c>
      <c r="H62" s="129">
        <v>0.30034626019092803</v>
      </c>
    </row>
    <row r="63" spans="2:16" x14ac:dyDescent="0.2">
      <c r="B63" s="114">
        <v>2023</v>
      </c>
      <c r="C63" s="128">
        <v>0.40748589786289502</v>
      </c>
      <c r="D63" s="128">
        <v>1.1174587402587199E-2</v>
      </c>
      <c r="E63" s="128">
        <v>1.05780591511145E-2</v>
      </c>
      <c r="F63" s="128">
        <v>71</v>
      </c>
      <c r="G63" s="128">
        <v>0.39631131046030799</v>
      </c>
      <c r="H63" s="128">
        <v>0.385733251309193</v>
      </c>
    </row>
    <row r="64" spans="2:16" x14ac:dyDescent="0.2">
      <c r="B64" s="116">
        <v>2024</v>
      </c>
      <c r="C64" s="129">
        <v>0.39600742186675703</v>
      </c>
      <c r="D64" s="129">
        <v>1.0859810292655101E-2</v>
      </c>
      <c r="E64" s="129">
        <v>1.02800856539E-2</v>
      </c>
      <c r="F64" s="129">
        <v>69</v>
      </c>
      <c r="G64" s="129">
        <v>0.38514761157410199</v>
      </c>
      <c r="H64" s="129">
        <v>0.374867525920202</v>
      </c>
    </row>
    <row r="65" spans="2:8" ht="30" customHeight="1" x14ac:dyDescent="0.25">
      <c r="B65" s="15" t="s">
        <v>202</v>
      </c>
      <c r="C65" s="23">
        <v>0.42</v>
      </c>
      <c r="D65" s="23">
        <v>0.01</v>
      </c>
      <c r="E65" s="23">
        <v>0.01</v>
      </c>
      <c r="F65" s="23">
        <v>68</v>
      </c>
      <c r="G65" s="23">
        <v>0.41</v>
      </c>
      <c r="H65" s="23">
        <v>0.4</v>
      </c>
    </row>
    <row r="67" spans="2:8" x14ac:dyDescent="0.2">
      <c r="B67" s="9" t="s">
        <v>325</v>
      </c>
    </row>
    <row r="68" spans="2:8" x14ac:dyDescent="0.2">
      <c r="B68" s="9" t="s">
        <v>326</v>
      </c>
    </row>
    <row r="71" spans="2:8" x14ac:dyDescent="0.2">
      <c r="B71" s="1" t="str">
        <f>HYPERLINK("#'Contents'!A1", "Return to Contents Page")</f>
        <v>Return to Contents Page</v>
      </c>
    </row>
  </sheetData>
  <mergeCells count="4">
    <mergeCell ref="B29:I29"/>
    <mergeCell ref="L29:P29"/>
    <mergeCell ref="B50:I50"/>
    <mergeCell ref="L50:P50"/>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Cover</vt:lpstr>
      <vt:lpstr>Contents</vt:lpstr>
      <vt:lpstr>Table A</vt:lpstr>
      <vt:lpstr>Table 1</vt:lpstr>
      <vt:lpstr>Table 2</vt:lpstr>
      <vt:lpstr>Table 3</vt:lpstr>
      <vt:lpstr>Table 4</vt:lpstr>
      <vt:lpstr>Table B</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User Guidance</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1375787</dc:creator>
  <cp:lastModifiedBy>Irwin, Jonathan (DFI)</cp:lastModifiedBy>
  <dcterms:created xsi:type="dcterms:W3CDTF">2025-06-11T09:26:44Z</dcterms:created>
  <dcterms:modified xsi:type="dcterms:W3CDTF">2026-06-29T08:21:13Z</dcterms:modified>
</cp:coreProperties>
</file>